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40" windowWidth="6045" windowHeight="3915"/>
  </bookViews>
  <sheets>
    <sheet name="Forma de citar" sheetId="14" r:id="rId1"/>
    <sheet name="VO2 F" sheetId="1" r:id="rId2"/>
    <sheet name="VO2 C" sheetId="2" r:id="rId3"/>
    <sheet name="VO2 A" sheetId="3" r:id="rId4"/>
    <sheet name="VO2 D" sheetId="4" r:id="rId5"/>
    <sheet name="Regresiones" sheetId="5" r:id="rId6"/>
    <sheet name="Resumen Regresiones" sheetId="6" r:id="rId7"/>
    <sheet name="Crecimiento" sheetId="7" r:id="rId8"/>
  </sheets>
  <calcPr calcId="125725"/>
</workbook>
</file>

<file path=xl/calcChain.xml><?xml version="1.0" encoding="utf-8"?>
<calcChain xmlns="http://schemas.openxmlformats.org/spreadsheetml/2006/main">
  <c r="E6" i="7"/>
  <c r="K6"/>
  <c r="E7"/>
  <c r="K7"/>
  <c r="E8"/>
  <c r="K8"/>
  <c r="E9"/>
  <c r="K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A33"/>
  <c r="A34"/>
  <c r="D51"/>
  <c r="D52"/>
  <c r="E56"/>
  <c r="E57"/>
  <c r="E58"/>
  <c r="E59"/>
  <c r="E60"/>
  <c r="E61"/>
  <c r="E62"/>
  <c r="E63"/>
  <c r="E64"/>
  <c r="E65"/>
  <c r="E66"/>
  <c r="C67"/>
  <c r="E67"/>
  <c r="C68"/>
  <c r="E68"/>
  <c r="E69"/>
  <c r="E70"/>
  <c r="E71"/>
  <c r="E72"/>
  <c r="E73"/>
  <c r="E74"/>
  <c r="E75"/>
  <c r="E76"/>
  <c r="E77"/>
  <c r="E78"/>
  <c r="E79"/>
  <c r="E80"/>
  <c r="A82"/>
  <c r="B82"/>
  <c r="A83"/>
  <c r="B83"/>
  <c r="D101"/>
  <c r="D102"/>
  <c r="E107"/>
  <c r="E108"/>
  <c r="E109"/>
  <c r="E110"/>
  <c r="E111"/>
  <c r="E112"/>
  <c r="E113"/>
  <c r="E114"/>
  <c r="E115"/>
  <c r="E116"/>
  <c r="E117"/>
  <c r="C118"/>
  <c r="E118"/>
  <c r="C119"/>
  <c r="E119"/>
  <c r="E120"/>
  <c r="E121"/>
  <c r="E122"/>
  <c r="E123"/>
  <c r="E124"/>
  <c r="E125"/>
  <c r="E126"/>
  <c r="E127"/>
  <c r="E128"/>
  <c r="E129"/>
  <c r="E130"/>
  <c r="E131"/>
  <c r="A133"/>
  <c r="B133"/>
  <c r="A134"/>
  <c r="B134"/>
  <c r="D150"/>
  <c r="D151"/>
  <c r="E156"/>
  <c r="E157"/>
  <c r="E158"/>
  <c r="E159"/>
  <c r="E160"/>
  <c r="E161"/>
  <c r="E162"/>
  <c r="E163"/>
  <c r="E164"/>
  <c r="E165"/>
  <c r="E166"/>
  <c r="C167"/>
  <c r="E167"/>
  <c r="C168"/>
  <c r="E168"/>
  <c r="E169"/>
  <c r="E170"/>
  <c r="E171"/>
  <c r="E172"/>
  <c r="E173"/>
  <c r="E174"/>
  <c r="E175"/>
  <c r="E176"/>
  <c r="E177"/>
  <c r="E178"/>
  <c r="E179"/>
  <c r="E180"/>
  <c r="A182"/>
  <c r="A183"/>
  <c r="D200"/>
  <c r="D201"/>
  <c r="C7" i="5"/>
  <c r="D7"/>
  <c r="J7"/>
  <c r="K7"/>
  <c r="Q7"/>
  <c r="R7"/>
  <c r="X7"/>
  <c r="Y7"/>
  <c r="C8"/>
  <c r="D8"/>
  <c r="F8" s="1"/>
  <c r="J8"/>
  <c r="M7" s="1"/>
  <c r="K8"/>
  <c r="Q8"/>
  <c r="R8"/>
  <c r="T8" s="1"/>
  <c r="X8"/>
  <c r="Y8"/>
  <c r="C9"/>
  <c r="D9"/>
  <c r="F9" s="1"/>
  <c r="J9"/>
  <c r="M8" s="1"/>
  <c r="K9"/>
  <c r="Q9"/>
  <c r="R9"/>
  <c r="T9" s="1"/>
  <c r="X9"/>
  <c r="AA8" s="1"/>
  <c r="Y9"/>
  <c r="C10"/>
  <c r="D10"/>
  <c r="J10"/>
  <c r="M9" s="1"/>
  <c r="K10"/>
  <c r="Q10"/>
  <c r="R10"/>
  <c r="X10"/>
  <c r="Y10"/>
  <c r="AA9" s="1"/>
  <c r="C11"/>
  <c r="D11"/>
  <c r="J11"/>
  <c r="K11"/>
  <c r="Q11"/>
  <c r="R11"/>
  <c r="X11"/>
  <c r="Y11"/>
  <c r="C12"/>
  <c r="D12"/>
  <c r="J12"/>
  <c r="K12"/>
  <c r="Q12"/>
  <c r="R12"/>
  <c r="X12"/>
  <c r="Y12"/>
  <c r="C13"/>
  <c r="D13"/>
  <c r="J13"/>
  <c r="K13"/>
  <c r="Q13"/>
  <c r="R13"/>
  <c r="X13"/>
  <c r="Y13"/>
  <c r="C14"/>
  <c r="D14"/>
  <c r="J14"/>
  <c r="K14"/>
  <c r="Q14"/>
  <c r="R14"/>
  <c r="X14"/>
  <c r="Y14"/>
  <c r="C15"/>
  <c r="D15"/>
  <c r="J15"/>
  <c r="K15"/>
  <c r="Q15"/>
  <c r="R15"/>
  <c r="X15"/>
  <c r="Y15"/>
  <c r="C27"/>
  <c r="D27"/>
  <c r="J27"/>
  <c r="K27"/>
  <c r="M27" s="1"/>
  <c r="Q27"/>
  <c r="R27"/>
  <c r="X27"/>
  <c r="Y27"/>
  <c r="C28"/>
  <c r="D28"/>
  <c r="J28"/>
  <c r="K28"/>
  <c r="M28" s="1"/>
  <c r="Q28"/>
  <c r="R28"/>
  <c r="X28"/>
  <c r="Y28"/>
  <c r="AA28" s="1"/>
  <c r="C29"/>
  <c r="F28" s="1"/>
  <c r="D29"/>
  <c r="J29"/>
  <c r="K29"/>
  <c r="M29" s="1"/>
  <c r="Q29"/>
  <c r="T28" s="1"/>
  <c r="R29"/>
  <c r="X29"/>
  <c r="Y29"/>
  <c r="AA29" s="1"/>
  <c r="C30"/>
  <c r="F29" s="1"/>
  <c r="D30"/>
  <c r="J30"/>
  <c r="K30"/>
  <c r="Q30"/>
  <c r="T29" s="1"/>
  <c r="R30"/>
  <c r="X30"/>
  <c r="Y30"/>
  <c r="C31"/>
  <c r="D31"/>
  <c r="J31"/>
  <c r="K31"/>
  <c r="Q31"/>
  <c r="R31"/>
  <c r="X31"/>
  <c r="Y31"/>
  <c r="C32"/>
  <c r="D32"/>
  <c r="J32"/>
  <c r="K32"/>
  <c r="Q32"/>
  <c r="R32"/>
  <c r="X32"/>
  <c r="Y32"/>
  <c r="C33"/>
  <c r="D33"/>
  <c r="J33"/>
  <c r="K33"/>
  <c r="Q33"/>
  <c r="R33"/>
  <c r="X33"/>
  <c r="Y33"/>
  <c r="C34"/>
  <c r="D34"/>
  <c r="J34"/>
  <c r="K34"/>
  <c r="Q34"/>
  <c r="R34"/>
  <c r="X34"/>
  <c r="Y34"/>
  <c r="C35"/>
  <c r="D35"/>
  <c r="J35"/>
  <c r="K35"/>
  <c r="Q35"/>
  <c r="R35"/>
  <c r="X35"/>
  <c r="Y35"/>
  <c r="C46"/>
  <c r="D46"/>
  <c r="J46"/>
  <c r="K46"/>
  <c r="Q46"/>
  <c r="R46"/>
  <c r="X46"/>
  <c r="Y46"/>
  <c r="C47"/>
  <c r="D47"/>
  <c r="F47" s="1"/>
  <c r="J47"/>
  <c r="M46" s="1"/>
  <c r="K47"/>
  <c r="Q47"/>
  <c r="R47"/>
  <c r="T47" s="1"/>
  <c r="X47"/>
  <c r="Y47"/>
  <c r="C48"/>
  <c r="D48"/>
  <c r="F48" s="1"/>
  <c r="J48"/>
  <c r="M47" s="1"/>
  <c r="K48"/>
  <c r="Q48"/>
  <c r="R48"/>
  <c r="T48" s="1"/>
  <c r="X48"/>
  <c r="AA47" s="1"/>
  <c r="Y48"/>
  <c r="C49"/>
  <c r="D49"/>
  <c r="J49"/>
  <c r="M48" s="1"/>
  <c r="K49"/>
  <c r="Q49"/>
  <c r="R49"/>
  <c r="X49"/>
  <c r="Y49"/>
  <c r="AA48" s="1"/>
  <c r="C50"/>
  <c r="D50"/>
  <c r="J50"/>
  <c r="K50"/>
  <c r="Q50"/>
  <c r="R50"/>
  <c r="X50"/>
  <c r="Y50"/>
  <c r="C51"/>
  <c r="D51"/>
  <c r="J51"/>
  <c r="K51"/>
  <c r="Q51"/>
  <c r="R51"/>
  <c r="X51"/>
  <c r="Y51"/>
  <c r="C52"/>
  <c r="D52"/>
  <c r="J52"/>
  <c r="K52"/>
  <c r="Q52"/>
  <c r="R52"/>
  <c r="X52"/>
  <c r="Y52"/>
  <c r="C53"/>
  <c r="D53"/>
  <c r="J53"/>
  <c r="K53"/>
  <c r="Q53"/>
  <c r="R53"/>
  <c r="X53"/>
  <c r="Y53"/>
  <c r="C54"/>
  <c r="D54"/>
  <c r="J54"/>
  <c r="K54"/>
  <c r="Q54"/>
  <c r="R54"/>
  <c r="X54"/>
  <c r="Y54"/>
  <c r="C65"/>
  <c r="D65"/>
  <c r="J65"/>
  <c r="K65"/>
  <c r="M65" s="1"/>
  <c r="Q65"/>
  <c r="R65"/>
  <c r="X65"/>
  <c r="Y65"/>
  <c r="C66"/>
  <c r="D66"/>
  <c r="J66"/>
  <c r="K66"/>
  <c r="Q66"/>
  <c r="R66"/>
  <c r="X66"/>
  <c r="Y66"/>
  <c r="AA66" s="1"/>
  <c r="C67"/>
  <c r="F66" s="1"/>
  <c r="D67"/>
  <c r="J67"/>
  <c r="K67"/>
  <c r="M67" s="1"/>
  <c r="Q67"/>
  <c r="T66" s="1"/>
  <c r="R67"/>
  <c r="X67"/>
  <c r="Y67"/>
  <c r="AA67" s="1"/>
  <c r="C68"/>
  <c r="F67" s="1"/>
  <c r="D68"/>
  <c r="J68"/>
  <c r="K68"/>
  <c r="Q68"/>
  <c r="T67" s="1"/>
  <c r="R68"/>
  <c r="X68"/>
  <c r="Y68"/>
  <c r="C69"/>
  <c r="D69"/>
  <c r="J69"/>
  <c r="K69"/>
  <c r="Q69"/>
  <c r="R69"/>
  <c r="X69"/>
  <c r="Y69"/>
  <c r="C70"/>
  <c r="D70"/>
  <c r="J70"/>
  <c r="K70"/>
  <c r="Q70"/>
  <c r="R70"/>
  <c r="X70"/>
  <c r="Y70"/>
  <c r="C71"/>
  <c r="D71"/>
  <c r="J71"/>
  <c r="K71"/>
  <c r="Q71"/>
  <c r="R71"/>
  <c r="X71"/>
  <c r="Y71"/>
  <c r="C72"/>
  <c r="D72"/>
  <c r="J72"/>
  <c r="K72"/>
  <c r="Q72"/>
  <c r="R72"/>
  <c r="X72"/>
  <c r="Y72"/>
  <c r="C73"/>
  <c r="D73"/>
  <c r="J73"/>
  <c r="K73"/>
  <c r="Q73"/>
  <c r="R73"/>
  <c r="X73"/>
  <c r="Y73"/>
  <c r="C86"/>
  <c r="F87" s="1"/>
  <c r="D86"/>
  <c r="J86"/>
  <c r="K86"/>
  <c r="Q86"/>
  <c r="R86"/>
  <c r="T87" s="1"/>
  <c r="X86"/>
  <c r="Y86"/>
  <c r="C87"/>
  <c r="D87"/>
  <c r="J87"/>
  <c r="M86" s="1"/>
  <c r="K87"/>
  <c r="Q87"/>
  <c r="R87"/>
  <c r="X87"/>
  <c r="Y87"/>
  <c r="C88"/>
  <c r="D88"/>
  <c r="F88" s="1"/>
  <c r="J88"/>
  <c r="M87" s="1"/>
  <c r="K88"/>
  <c r="Q88"/>
  <c r="R88"/>
  <c r="T88" s="1"/>
  <c r="X88"/>
  <c r="AA87" s="1"/>
  <c r="Y88"/>
  <c r="C89"/>
  <c r="D89"/>
  <c r="J89"/>
  <c r="K89"/>
  <c r="M88" s="1"/>
  <c r="Q89"/>
  <c r="R89"/>
  <c r="X89"/>
  <c r="Y89"/>
  <c r="AA88" s="1"/>
  <c r="C90"/>
  <c r="D90"/>
  <c r="J90"/>
  <c r="K90"/>
  <c r="Q90"/>
  <c r="R90"/>
  <c r="X90"/>
  <c r="Y90"/>
  <c r="C91"/>
  <c r="D91"/>
  <c r="J91"/>
  <c r="K91"/>
  <c r="Q91"/>
  <c r="R91"/>
  <c r="X91"/>
  <c r="Y91"/>
  <c r="C92"/>
  <c r="D92"/>
  <c r="J92"/>
  <c r="K92"/>
  <c r="Q92"/>
  <c r="R92"/>
  <c r="X92"/>
  <c r="Y92"/>
  <c r="C93"/>
  <c r="D93"/>
  <c r="J93"/>
  <c r="K93"/>
  <c r="Q93"/>
  <c r="R93"/>
  <c r="X93"/>
  <c r="Y93"/>
  <c r="C94"/>
  <c r="D94"/>
  <c r="J94"/>
  <c r="K94"/>
  <c r="Q94"/>
  <c r="R94"/>
  <c r="X94"/>
  <c r="Y94"/>
  <c r="F48" i="6"/>
  <c r="H48"/>
  <c r="I48" s="1"/>
  <c r="F49"/>
  <c r="H49" s="1"/>
  <c r="I49" s="1"/>
  <c r="F50"/>
  <c r="H50"/>
  <c r="I50" s="1"/>
  <c r="F51"/>
  <c r="H51" s="1"/>
  <c r="I51" s="1"/>
  <c r="D72"/>
  <c r="F72"/>
  <c r="H72" s="1"/>
  <c r="I72" s="1"/>
  <c r="D73"/>
  <c r="F73"/>
  <c r="H73" s="1"/>
  <c r="I73" s="1"/>
  <c r="D74"/>
  <c r="F74"/>
  <c r="H74" s="1"/>
  <c r="I74" s="1"/>
  <c r="D75"/>
  <c r="F75"/>
  <c r="H75" s="1"/>
  <c r="I75" s="1"/>
  <c r="B93"/>
  <c r="B94"/>
  <c r="B95"/>
  <c r="B96"/>
  <c r="S9" i="3"/>
  <c r="T9"/>
  <c r="U9" s="1"/>
  <c r="E10"/>
  <c r="F10" s="1"/>
  <c r="O10"/>
  <c r="S10"/>
  <c r="T10"/>
  <c r="U10" s="1"/>
  <c r="E11"/>
  <c r="F11" s="1"/>
  <c r="G11" s="1"/>
  <c r="I11" s="1"/>
  <c r="O11"/>
  <c r="S11"/>
  <c r="T11"/>
  <c r="U11" s="1"/>
  <c r="E12"/>
  <c r="F12" s="1"/>
  <c r="G12" s="1"/>
  <c r="I12" s="1"/>
  <c r="S12"/>
  <c r="T12"/>
  <c r="U12"/>
  <c r="E13"/>
  <c r="F13"/>
  <c r="G13" s="1"/>
  <c r="I13" s="1"/>
  <c r="O13"/>
  <c r="S13"/>
  <c r="T13"/>
  <c r="U13"/>
  <c r="E14"/>
  <c r="F14"/>
  <c r="G14" s="1"/>
  <c r="I14" s="1"/>
  <c r="E15"/>
  <c r="F15"/>
  <c r="G15" s="1"/>
  <c r="I15" s="1"/>
  <c r="E16"/>
  <c r="F16"/>
  <c r="G16" s="1"/>
  <c r="I16" s="1"/>
  <c r="B17"/>
  <c r="E17"/>
  <c r="F17" s="1"/>
  <c r="G17" s="1"/>
  <c r="I17" s="1"/>
  <c r="E18"/>
  <c r="F18" s="1"/>
  <c r="G18" s="1"/>
  <c r="I18" s="1"/>
  <c r="E19"/>
  <c r="F19" s="1"/>
  <c r="C21"/>
  <c r="D21"/>
  <c r="E21"/>
  <c r="H21"/>
  <c r="J21"/>
  <c r="K21"/>
  <c r="L21"/>
  <c r="O21"/>
  <c r="E30"/>
  <c r="F30"/>
  <c r="G30" s="1"/>
  <c r="E31"/>
  <c r="F31"/>
  <c r="G31" s="1"/>
  <c r="I31" s="1"/>
  <c r="O31"/>
  <c r="E32"/>
  <c r="F32" s="1"/>
  <c r="G32" s="1"/>
  <c r="I32" s="1"/>
  <c r="O32"/>
  <c r="E33"/>
  <c r="F33"/>
  <c r="G33" s="1"/>
  <c r="I33" s="1"/>
  <c r="O33"/>
  <c r="E34"/>
  <c r="F34" s="1"/>
  <c r="G34" s="1"/>
  <c r="I34" s="1"/>
  <c r="O34"/>
  <c r="E35"/>
  <c r="F35"/>
  <c r="G35" s="1"/>
  <c r="I35" s="1"/>
  <c r="O35"/>
  <c r="E36"/>
  <c r="F36" s="1"/>
  <c r="G36" s="1"/>
  <c r="I36" s="1"/>
  <c r="O36"/>
  <c r="B37"/>
  <c r="E37"/>
  <c r="F37" s="1"/>
  <c r="G37" s="1"/>
  <c r="I37" s="1"/>
  <c r="E38"/>
  <c r="F38" s="1"/>
  <c r="G38" s="1"/>
  <c r="I38" s="1"/>
  <c r="E39"/>
  <c r="F39" s="1"/>
  <c r="C41"/>
  <c r="D41"/>
  <c r="E41"/>
  <c r="H41"/>
  <c r="J41"/>
  <c r="K41"/>
  <c r="L41"/>
  <c r="O41"/>
  <c r="E49"/>
  <c r="F49"/>
  <c r="G49" s="1"/>
  <c r="O49"/>
  <c r="E50"/>
  <c r="F50" s="1"/>
  <c r="G50" s="1"/>
  <c r="I50" s="1"/>
  <c r="E51"/>
  <c r="F51" s="1"/>
  <c r="G51" s="1"/>
  <c r="I51" s="1"/>
  <c r="E52"/>
  <c r="F52" s="1"/>
  <c r="G52" s="1"/>
  <c r="I52" s="1"/>
  <c r="E53"/>
  <c r="F53" s="1"/>
  <c r="G53" s="1"/>
  <c r="I53" s="1"/>
  <c r="E54"/>
  <c r="F54" s="1"/>
  <c r="G54" s="1"/>
  <c r="I54" s="1"/>
  <c r="O54"/>
  <c r="E55"/>
  <c r="F55"/>
  <c r="G55" s="1"/>
  <c r="I55" s="1"/>
  <c r="B56"/>
  <c r="E56"/>
  <c r="F56" s="1"/>
  <c r="G56" s="1"/>
  <c r="I56" s="1"/>
  <c r="E57"/>
  <c r="F57" s="1"/>
  <c r="G57" s="1"/>
  <c r="I57" s="1"/>
  <c r="E58"/>
  <c r="F58" s="1"/>
  <c r="C60"/>
  <c r="D60"/>
  <c r="E60"/>
  <c r="H60"/>
  <c r="J60"/>
  <c r="K60"/>
  <c r="L60"/>
  <c r="O60"/>
  <c r="E68"/>
  <c r="F68"/>
  <c r="G68" s="1"/>
  <c r="O68"/>
  <c r="E69"/>
  <c r="F69" s="1"/>
  <c r="E70"/>
  <c r="F70" s="1"/>
  <c r="G70" s="1"/>
  <c r="I70" s="1"/>
  <c r="E71"/>
  <c r="F71" s="1"/>
  <c r="G71" s="1"/>
  <c r="I71" s="1"/>
  <c r="E72"/>
  <c r="F72" s="1"/>
  <c r="G72" s="1"/>
  <c r="I72" s="1"/>
  <c r="E73"/>
  <c r="F73" s="1"/>
  <c r="G73" s="1"/>
  <c r="I73" s="1"/>
  <c r="O73"/>
  <c r="O79" s="1"/>
  <c r="E74"/>
  <c r="F74"/>
  <c r="G74" s="1"/>
  <c r="I74" s="1"/>
  <c r="B75"/>
  <c r="E75"/>
  <c r="F75" s="1"/>
  <c r="G75" s="1"/>
  <c r="I75" s="1"/>
  <c r="O75"/>
  <c r="E76"/>
  <c r="F76"/>
  <c r="G76" s="1"/>
  <c r="I76" s="1"/>
  <c r="E77"/>
  <c r="F77"/>
  <c r="C79"/>
  <c r="D79"/>
  <c r="H79"/>
  <c r="J79"/>
  <c r="K79"/>
  <c r="L79"/>
  <c r="E89"/>
  <c r="F89" s="1"/>
  <c r="O89"/>
  <c r="O100" s="1"/>
  <c r="E90"/>
  <c r="F90"/>
  <c r="G90" s="1"/>
  <c r="I90" s="1"/>
  <c r="O90"/>
  <c r="E91"/>
  <c r="F91" s="1"/>
  <c r="G91" s="1"/>
  <c r="I91" s="1"/>
  <c r="O91"/>
  <c r="E92"/>
  <c r="F92"/>
  <c r="G92" s="1"/>
  <c r="I92" s="1"/>
  <c r="O92"/>
  <c r="E93"/>
  <c r="F93" s="1"/>
  <c r="G93" s="1"/>
  <c r="I93" s="1"/>
  <c r="O93"/>
  <c r="E94"/>
  <c r="F94"/>
  <c r="G94" s="1"/>
  <c r="I94" s="1"/>
  <c r="O94"/>
  <c r="E95"/>
  <c r="F95" s="1"/>
  <c r="G95" s="1"/>
  <c r="I95" s="1"/>
  <c r="B96"/>
  <c r="E96"/>
  <c r="F96"/>
  <c r="G96" s="1"/>
  <c r="I96" s="1"/>
  <c r="E97"/>
  <c r="F97"/>
  <c r="G97" s="1"/>
  <c r="I97" s="1"/>
  <c r="E98"/>
  <c r="F98"/>
  <c r="C100"/>
  <c r="D100"/>
  <c r="H100"/>
  <c r="J100"/>
  <c r="K100"/>
  <c r="L100"/>
  <c r="E109"/>
  <c r="F109" s="1"/>
  <c r="O109"/>
  <c r="O120" s="1"/>
  <c r="E110"/>
  <c r="F110"/>
  <c r="G110" s="1"/>
  <c r="I110" s="1"/>
  <c r="O110"/>
  <c r="E111"/>
  <c r="F111" s="1"/>
  <c r="G111" s="1"/>
  <c r="I111" s="1"/>
  <c r="O111"/>
  <c r="E112"/>
  <c r="F112"/>
  <c r="G112" s="1"/>
  <c r="I112" s="1"/>
  <c r="O112"/>
  <c r="E113"/>
  <c r="F113" s="1"/>
  <c r="G113" s="1"/>
  <c r="I113" s="1"/>
  <c r="O113"/>
  <c r="E114"/>
  <c r="F114"/>
  <c r="G114" s="1"/>
  <c r="I114" s="1"/>
  <c r="O114"/>
  <c r="E115"/>
  <c r="F115" s="1"/>
  <c r="G115" s="1"/>
  <c r="I115" s="1"/>
  <c r="O115"/>
  <c r="B116"/>
  <c r="E116"/>
  <c r="F116" s="1"/>
  <c r="G116" s="1"/>
  <c r="I116" s="1"/>
  <c r="O116"/>
  <c r="E117"/>
  <c r="F117"/>
  <c r="G117" s="1"/>
  <c r="I117" s="1"/>
  <c r="O117"/>
  <c r="E118"/>
  <c r="F118" s="1"/>
  <c r="C120"/>
  <c r="D120"/>
  <c r="E120"/>
  <c r="H120"/>
  <c r="J120"/>
  <c r="K120"/>
  <c r="L120"/>
  <c r="N120"/>
  <c r="E128"/>
  <c r="F128" s="1"/>
  <c r="O128"/>
  <c r="E129"/>
  <c r="F129"/>
  <c r="G129" s="1"/>
  <c r="I129" s="1"/>
  <c r="O129"/>
  <c r="E130"/>
  <c r="F130" s="1"/>
  <c r="G130" s="1"/>
  <c r="I130" s="1"/>
  <c r="O130"/>
  <c r="E131"/>
  <c r="F131"/>
  <c r="G131" s="1"/>
  <c r="I131" s="1"/>
  <c r="O131"/>
  <c r="E132"/>
  <c r="F132"/>
  <c r="G132" s="1"/>
  <c r="I132" s="1"/>
  <c r="O132"/>
  <c r="E133"/>
  <c r="F133" s="1"/>
  <c r="G133" s="1"/>
  <c r="I133" s="1"/>
  <c r="O133"/>
  <c r="E134"/>
  <c r="F134"/>
  <c r="G134" s="1"/>
  <c r="I134" s="1"/>
  <c r="O134"/>
  <c r="B135"/>
  <c r="E135"/>
  <c r="F135"/>
  <c r="G135" s="1"/>
  <c r="I135" s="1"/>
  <c r="O135"/>
  <c r="E136"/>
  <c r="F136" s="1"/>
  <c r="G136" s="1"/>
  <c r="I136" s="1"/>
  <c r="O136"/>
  <c r="E137"/>
  <c r="F137"/>
  <c r="C139"/>
  <c r="D139"/>
  <c r="H139"/>
  <c r="J139"/>
  <c r="K139"/>
  <c r="L139"/>
  <c r="O139"/>
  <c r="E147"/>
  <c r="F147" s="1"/>
  <c r="O147"/>
  <c r="E148"/>
  <c r="F148"/>
  <c r="G148" s="1"/>
  <c r="I148" s="1"/>
  <c r="O148"/>
  <c r="E149"/>
  <c r="F149" s="1"/>
  <c r="G149" s="1"/>
  <c r="I149" s="1"/>
  <c r="O149"/>
  <c r="E150"/>
  <c r="F150"/>
  <c r="G150" s="1"/>
  <c r="I150" s="1"/>
  <c r="O150"/>
  <c r="E151"/>
  <c r="F151" s="1"/>
  <c r="G151" s="1"/>
  <c r="I151" s="1"/>
  <c r="O151"/>
  <c r="E152"/>
  <c r="F152"/>
  <c r="G152" s="1"/>
  <c r="I152" s="1"/>
  <c r="O152"/>
  <c r="E153"/>
  <c r="F153" s="1"/>
  <c r="G153" s="1"/>
  <c r="I153" s="1"/>
  <c r="O153"/>
  <c r="B154"/>
  <c r="E154"/>
  <c r="F154" s="1"/>
  <c r="G154" s="1"/>
  <c r="I154" s="1"/>
  <c r="O154"/>
  <c r="E155"/>
  <c r="F155"/>
  <c r="G155" s="1"/>
  <c r="I155" s="1"/>
  <c r="O155"/>
  <c r="E156"/>
  <c r="F156" s="1"/>
  <c r="C158"/>
  <c r="D158"/>
  <c r="E158"/>
  <c r="H158"/>
  <c r="J158"/>
  <c r="K158"/>
  <c r="L158"/>
  <c r="O158"/>
  <c r="S9" i="2"/>
  <c r="T9"/>
  <c r="U9" s="1"/>
  <c r="E10"/>
  <c r="F10" s="1"/>
  <c r="S10"/>
  <c r="T10"/>
  <c r="U10"/>
  <c r="E11"/>
  <c r="F11"/>
  <c r="G11" s="1"/>
  <c r="I11" s="1"/>
  <c r="O11"/>
  <c r="S11"/>
  <c r="T11"/>
  <c r="U11"/>
  <c r="E12"/>
  <c r="F12"/>
  <c r="G12" s="1"/>
  <c r="I12" s="1"/>
  <c r="S12"/>
  <c r="T12"/>
  <c r="U12" s="1"/>
  <c r="E13"/>
  <c r="F13" s="1"/>
  <c r="G13" s="1"/>
  <c r="I13" s="1"/>
  <c r="S13"/>
  <c r="T13"/>
  <c r="U13"/>
  <c r="E14"/>
  <c r="F14"/>
  <c r="G14" s="1"/>
  <c r="I14" s="1"/>
  <c r="E15"/>
  <c r="F15"/>
  <c r="G15" s="1"/>
  <c r="I15" s="1"/>
  <c r="O15"/>
  <c r="E16"/>
  <c r="F16" s="1"/>
  <c r="G16" s="1"/>
  <c r="I16" s="1"/>
  <c r="B17"/>
  <c r="E17"/>
  <c r="F17"/>
  <c r="G17" s="1"/>
  <c r="I17" s="1"/>
  <c r="E18"/>
  <c r="F18"/>
  <c r="G18" s="1"/>
  <c r="I18" s="1"/>
  <c r="O18"/>
  <c r="E19"/>
  <c r="F19" s="1"/>
  <c r="C21"/>
  <c r="D21"/>
  <c r="E21"/>
  <c r="H21"/>
  <c r="J21"/>
  <c r="K21"/>
  <c r="L21"/>
  <c r="O21"/>
  <c r="E30"/>
  <c r="F30"/>
  <c r="G30" s="1"/>
  <c r="O30"/>
  <c r="E31"/>
  <c r="F31" s="1"/>
  <c r="O31"/>
  <c r="E32"/>
  <c r="F32"/>
  <c r="G32" s="1"/>
  <c r="I32" s="1"/>
  <c r="O32"/>
  <c r="E33"/>
  <c r="F33" s="1"/>
  <c r="G33" s="1"/>
  <c r="I33" s="1"/>
  <c r="O33"/>
  <c r="O41" s="1"/>
  <c r="E34"/>
  <c r="F34"/>
  <c r="G34" s="1"/>
  <c r="I34" s="1"/>
  <c r="O34"/>
  <c r="E35"/>
  <c r="F35" s="1"/>
  <c r="G35" s="1"/>
  <c r="I35" s="1"/>
  <c r="O35"/>
  <c r="E36"/>
  <c r="F36"/>
  <c r="G36" s="1"/>
  <c r="I36" s="1"/>
  <c r="O36"/>
  <c r="B37"/>
  <c r="E37"/>
  <c r="F37"/>
  <c r="G37" s="1"/>
  <c r="I37" s="1"/>
  <c r="O37"/>
  <c r="E38"/>
  <c r="F38" s="1"/>
  <c r="G38" s="1"/>
  <c r="I38" s="1"/>
  <c r="O38"/>
  <c r="E39"/>
  <c r="F39"/>
  <c r="C41"/>
  <c r="D41"/>
  <c r="H41"/>
  <c r="J41"/>
  <c r="K41"/>
  <c r="L41"/>
  <c r="E49"/>
  <c r="F49" s="1"/>
  <c r="O49"/>
  <c r="E50"/>
  <c r="F50"/>
  <c r="G50" s="1"/>
  <c r="I50" s="1"/>
  <c r="O50"/>
  <c r="E51"/>
  <c r="F51" s="1"/>
  <c r="G51" s="1"/>
  <c r="I51" s="1"/>
  <c r="O51"/>
  <c r="O60" s="1"/>
  <c r="E52"/>
  <c r="F52"/>
  <c r="G52" s="1"/>
  <c r="I52" s="1"/>
  <c r="O52"/>
  <c r="E53"/>
  <c r="F53" s="1"/>
  <c r="G53" s="1"/>
  <c r="I53" s="1"/>
  <c r="O53"/>
  <c r="E54"/>
  <c r="F54"/>
  <c r="G54" s="1"/>
  <c r="I54" s="1"/>
  <c r="O54"/>
  <c r="E55"/>
  <c r="F55" s="1"/>
  <c r="G55" s="1"/>
  <c r="I55" s="1"/>
  <c r="O55"/>
  <c r="B56"/>
  <c r="E56"/>
  <c r="F56" s="1"/>
  <c r="G56" s="1"/>
  <c r="I56" s="1"/>
  <c r="O56"/>
  <c r="E57"/>
  <c r="F57"/>
  <c r="G57" s="1"/>
  <c r="I57" s="1"/>
  <c r="E58"/>
  <c r="F58"/>
  <c r="C60"/>
  <c r="D60"/>
  <c r="H60"/>
  <c r="J60"/>
  <c r="K60"/>
  <c r="L60"/>
  <c r="E68"/>
  <c r="F68" s="1"/>
  <c r="O68"/>
  <c r="O79" s="1"/>
  <c r="E69"/>
  <c r="F69"/>
  <c r="G69" s="1"/>
  <c r="I69" s="1"/>
  <c r="E70"/>
  <c r="F70"/>
  <c r="G70" s="1"/>
  <c r="I70" s="1"/>
  <c r="O70"/>
  <c r="E71"/>
  <c r="F71" s="1"/>
  <c r="G71" s="1"/>
  <c r="I71" s="1"/>
  <c r="O71"/>
  <c r="E72"/>
  <c r="F72"/>
  <c r="G72" s="1"/>
  <c r="I72" s="1"/>
  <c r="E73"/>
  <c r="F73"/>
  <c r="G73" s="1"/>
  <c r="I73" s="1"/>
  <c r="O73"/>
  <c r="E74"/>
  <c r="F74" s="1"/>
  <c r="G74" s="1"/>
  <c r="I74" s="1"/>
  <c r="O74"/>
  <c r="B75"/>
  <c r="E75"/>
  <c r="F75" s="1"/>
  <c r="G75" s="1"/>
  <c r="I75" s="1"/>
  <c r="O75"/>
  <c r="E76"/>
  <c r="F76"/>
  <c r="G76" s="1"/>
  <c r="I76" s="1"/>
  <c r="E77"/>
  <c r="F77"/>
  <c r="C79"/>
  <c r="D79"/>
  <c r="H79"/>
  <c r="J79"/>
  <c r="K79"/>
  <c r="L79"/>
  <c r="E89"/>
  <c r="F89" s="1"/>
  <c r="O89"/>
  <c r="E90"/>
  <c r="F90"/>
  <c r="G90" s="1"/>
  <c r="I90" s="1"/>
  <c r="E91"/>
  <c r="F91"/>
  <c r="G91" s="1"/>
  <c r="I91" s="1"/>
  <c r="E92"/>
  <c r="F92"/>
  <c r="G92" s="1"/>
  <c r="I92" s="1"/>
  <c r="E93"/>
  <c r="F93"/>
  <c r="G93" s="1"/>
  <c r="I93" s="1"/>
  <c r="O93"/>
  <c r="E94"/>
  <c r="F94" s="1"/>
  <c r="G94" s="1"/>
  <c r="I94" s="1"/>
  <c r="E95"/>
  <c r="F95" s="1"/>
  <c r="G95" s="1"/>
  <c r="I95" s="1"/>
  <c r="B96"/>
  <c r="E96"/>
  <c r="F96"/>
  <c r="G96" s="1"/>
  <c r="I96" s="1"/>
  <c r="O96"/>
  <c r="E97"/>
  <c r="F97" s="1"/>
  <c r="G97" s="1"/>
  <c r="I97" s="1"/>
  <c r="E98"/>
  <c r="F98" s="1"/>
  <c r="C100"/>
  <c r="D100"/>
  <c r="E100"/>
  <c r="H100"/>
  <c r="J100"/>
  <c r="K100"/>
  <c r="L100"/>
  <c r="O100"/>
  <c r="E109"/>
  <c r="F109"/>
  <c r="G109" s="1"/>
  <c r="O109"/>
  <c r="E110"/>
  <c r="F110" s="1"/>
  <c r="O110"/>
  <c r="O120" s="1"/>
  <c r="E111"/>
  <c r="F111"/>
  <c r="G111" s="1"/>
  <c r="I111" s="1"/>
  <c r="O111"/>
  <c r="E112"/>
  <c r="F112" s="1"/>
  <c r="G112" s="1"/>
  <c r="I112" s="1"/>
  <c r="O112"/>
  <c r="E113"/>
  <c r="F113"/>
  <c r="G113" s="1"/>
  <c r="I113" s="1"/>
  <c r="O113"/>
  <c r="E114"/>
  <c r="F114" s="1"/>
  <c r="G114" s="1"/>
  <c r="I114" s="1"/>
  <c r="O114"/>
  <c r="E115"/>
  <c r="F115"/>
  <c r="G115" s="1"/>
  <c r="I115" s="1"/>
  <c r="O115"/>
  <c r="B116"/>
  <c r="E116"/>
  <c r="F116"/>
  <c r="G116" s="1"/>
  <c r="I116" s="1"/>
  <c r="O116"/>
  <c r="E117"/>
  <c r="F117" s="1"/>
  <c r="G117" s="1"/>
  <c r="I117" s="1"/>
  <c r="O117"/>
  <c r="E118"/>
  <c r="F118"/>
  <c r="C120"/>
  <c r="D120"/>
  <c r="H120"/>
  <c r="J120"/>
  <c r="K120"/>
  <c r="L120"/>
  <c r="E128"/>
  <c r="F128" s="1"/>
  <c r="O128"/>
  <c r="E129"/>
  <c r="F129"/>
  <c r="G129" s="1"/>
  <c r="I129" s="1"/>
  <c r="O129"/>
  <c r="E130"/>
  <c r="F130" s="1"/>
  <c r="G130" s="1"/>
  <c r="I130" s="1"/>
  <c r="O130"/>
  <c r="E131"/>
  <c r="F131"/>
  <c r="G131" s="1"/>
  <c r="I131" s="1"/>
  <c r="O131"/>
  <c r="E132"/>
  <c r="F132" s="1"/>
  <c r="G132" s="1"/>
  <c r="I132" s="1"/>
  <c r="O132"/>
  <c r="E133"/>
  <c r="F133"/>
  <c r="G133" s="1"/>
  <c r="I133" s="1"/>
  <c r="O133"/>
  <c r="E134"/>
  <c r="F134" s="1"/>
  <c r="G134" s="1"/>
  <c r="I134" s="1"/>
  <c r="O134"/>
  <c r="B135"/>
  <c r="E135"/>
  <c r="F135" s="1"/>
  <c r="G135" s="1"/>
  <c r="I135" s="1"/>
  <c r="O135"/>
  <c r="E136"/>
  <c r="F136"/>
  <c r="G136" s="1"/>
  <c r="I136" s="1"/>
  <c r="O136"/>
  <c r="E137"/>
  <c r="F137" s="1"/>
  <c r="C139"/>
  <c r="D139"/>
  <c r="E139"/>
  <c r="H139"/>
  <c r="J139"/>
  <c r="K139"/>
  <c r="L139"/>
  <c r="O139"/>
  <c r="E147"/>
  <c r="F147"/>
  <c r="G147" s="1"/>
  <c r="I147"/>
  <c r="O147"/>
  <c r="E148"/>
  <c r="O148"/>
  <c r="O158" s="1"/>
  <c r="E149"/>
  <c r="F149"/>
  <c r="G149" s="1"/>
  <c r="I149" s="1"/>
  <c r="O149"/>
  <c r="E150"/>
  <c r="F150" s="1"/>
  <c r="G150"/>
  <c r="I150" s="1"/>
  <c r="O150"/>
  <c r="E151"/>
  <c r="F151"/>
  <c r="G151" s="1"/>
  <c r="I151"/>
  <c r="O151"/>
  <c r="E152"/>
  <c r="F152" s="1"/>
  <c r="G152" s="1"/>
  <c r="I152" s="1"/>
  <c r="O152"/>
  <c r="E153"/>
  <c r="F153"/>
  <c r="G153" s="1"/>
  <c r="I153" s="1"/>
  <c r="O153"/>
  <c r="B154"/>
  <c r="E154"/>
  <c r="F154"/>
  <c r="G154" s="1"/>
  <c r="I154"/>
  <c r="O154"/>
  <c r="E155"/>
  <c r="F155" s="1"/>
  <c r="G155" s="1"/>
  <c r="I155" s="1"/>
  <c r="O155"/>
  <c r="E156"/>
  <c r="F156"/>
  <c r="C158"/>
  <c r="D158"/>
  <c r="H158"/>
  <c r="J158"/>
  <c r="K158"/>
  <c r="L158"/>
  <c r="N158"/>
  <c r="S9" i="4"/>
  <c r="T9"/>
  <c r="U9" s="1"/>
  <c r="E10"/>
  <c r="F10" s="1"/>
  <c r="O10"/>
  <c r="S10"/>
  <c r="T10"/>
  <c r="U10" s="1"/>
  <c r="E11"/>
  <c r="F11" s="1"/>
  <c r="G11" s="1"/>
  <c r="I11" s="1"/>
  <c r="O11"/>
  <c r="S11"/>
  <c r="T11"/>
  <c r="U11" s="1"/>
  <c r="E12"/>
  <c r="F12" s="1"/>
  <c r="G12" s="1"/>
  <c r="I12" s="1"/>
  <c r="O12"/>
  <c r="S12"/>
  <c r="T12"/>
  <c r="U12" s="1"/>
  <c r="E13"/>
  <c r="F13" s="1"/>
  <c r="G13" s="1"/>
  <c r="I13" s="1"/>
  <c r="O13"/>
  <c r="S13"/>
  <c r="T13"/>
  <c r="U13" s="1"/>
  <c r="E14"/>
  <c r="F14" s="1"/>
  <c r="G14" s="1"/>
  <c r="I14" s="1"/>
  <c r="O14"/>
  <c r="E15"/>
  <c r="F15"/>
  <c r="G15" s="1"/>
  <c r="I15" s="1"/>
  <c r="O15"/>
  <c r="E16"/>
  <c r="F16" s="1"/>
  <c r="G16" s="1"/>
  <c r="I16" s="1"/>
  <c r="B17"/>
  <c r="E17"/>
  <c r="F17"/>
  <c r="G17" s="1"/>
  <c r="I17" s="1"/>
  <c r="E18"/>
  <c r="F18"/>
  <c r="G18" s="1"/>
  <c r="I18" s="1"/>
  <c r="O18"/>
  <c r="E19"/>
  <c r="F19" s="1"/>
  <c r="C21"/>
  <c r="D21"/>
  <c r="E21"/>
  <c r="H21"/>
  <c r="J21"/>
  <c r="K21"/>
  <c r="L21"/>
  <c r="O21"/>
  <c r="E30"/>
  <c r="F30"/>
  <c r="G30" s="1"/>
  <c r="O30"/>
  <c r="E31"/>
  <c r="F31" s="1"/>
  <c r="O31"/>
  <c r="O41" s="1"/>
  <c r="E32"/>
  <c r="F32"/>
  <c r="G32" s="1"/>
  <c r="I32" s="1"/>
  <c r="O32"/>
  <c r="E33"/>
  <c r="F33" s="1"/>
  <c r="G33" s="1"/>
  <c r="I33" s="1"/>
  <c r="O33"/>
  <c r="E34"/>
  <c r="F34"/>
  <c r="G34" s="1"/>
  <c r="I34" s="1"/>
  <c r="O34"/>
  <c r="E35"/>
  <c r="F35" s="1"/>
  <c r="G35" s="1"/>
  <c r="I35" s="1"/>
  <c r="O35"/>
  <c r="E36"/>
  <c r="F36"/>
  <c r="G36" s="1"/>
  <c r="I36" s="1"/>
  <c r="O36"/>
  <c r="B37"/>
  <c r="E37"/>
  <c r="F37"/>
  <c r="G37" s="1"/>
  <c r="I37" s="1"/>
  <c r="O37"/>
  <c r="E38"/>
  <c r="F38" s="1"/>
  <c r="G38" s="1"/>
  <c r="I38" s="1"/>
  <c r="O38"/>
  <c r="E39"/>
  <c r="F39"/>
  <c r="C41"/>
  <c r="D41"/>
  <c r="H41"/>
  <c r="J41"/>
  <c r="K41"/>
  <c r="L41"/>
  <c r="E49"/>
  <c r="F49" s="1"/>
  <c r="O49"/>
  <c r="E50"/>
  <c r="F50"/>
  <c r="G50" s="1"/>
  <c r="I50" s="1"/>
  <c r="O50"/>
  <c r="E51"/>
  <c r="F51" s="1"/>
  <c r="G51" s="1"/>
  <c r="I51" s="1"/>
  <c r="O51"/>
  <c r="E52"/>
  <c r="F52"/>
  <c r="G52" s="1"/>
  <c r="I52" s="1"/>
  <c r="O52"/>
  <c r="E53"/>
  <c r="F53" s="1"/>
  <c r="G53" s="1"/>
  <c r="I53" s="1"/>
  <c r="O53"/>
  <c r="E54"/>
  <c r="F54"/>
  <c r="G54" s="1"/>
  <c r="I54" s="1"/>
  <c r="O54"/>
  <c r="E55"/>
  <c r="F55" s="1"/>
  <c r="G55" s="1"/>
  <c r="I55" s="1"/>
  <c r="O55"/>
  <c r="B56"/>
  <c r="E56"/>
  <c r="F56" s="1"/>
  <c r="G56" s="1"/>
  <c r="I56" s="1"/>
  <c r="O56"/>
  <c r="E57"/>
  <c r="F57"/>
  <c r="G57" s="1"/>
  <c r="I57" s="1"/>
  <c r="O57"/>
  <c r="E58"/>
  <c r="F58" s="1"/>
  <c r="C60"/>
  <c r="D60"/>
  <c r="E60"/>
  <c r="H60"/>
  <c r="J60"/>
  <c r="K60"/>
  <c r="L60"/>
  <c r="O60"/>
  <c r="E68"/>
  <c r="F68"/>
  <c r="G68" s="1"/>
  <c r="O68"/>
  <c r="E69"/>
  <c r="F69" s="1"/>
  <c r="O69"/>
  <c r="O79" s="1"/>
  <c r="E70"/>
  <c r="F70"/>
  <c r="G70" s="1"/>
  <c r="I70" s="1"/>
  <c r="O70"/>
  <c r="E71"/>
  <c r="F71" s="1"/>
  <c r="G71" s="1"/>
  <c r="I71" s="1"/>
  <c r="O71"/>
  <c r="E72"/>
  <c r="F72"/>
  <c r="G72" s="1"/>
  <c r="I72" s="1"/>
  <c r="O72"/>
  <c r="E73"/>
  <c r="F73" s="1"/>
  <c r="G73" s="1"/>
  <c r="I73" s="1"/>
  <c r="O73"/>
  <c r="E74"/>
  <c r="F74"/>
  <c r="G74" s="1"/>
  <c r="I74" s="1"/>
  <c r="O74"/>
  <c r="B75"/>
  <c r="E75"/>
  <c r="F75"/>
  <c r="G75" s="1"/>
  <c r="I75" s="1"/>
  <c r="O75"/>
  <c r="E76"/>
  <c r="F76" s="1"/>
  <c r="G76" s="1"/>
  <c r="I76" s="1"/>
  <c r="O76"/>
  <c r="E77"/>
  <c r="F77"/>
  <c r="C79"/>
  <c r="D79"/>
  <c r="H79"/>
  <c r="J79"/>
  <c r="K79"/>
  <c r="L79"/>
  <c r="E89"/>
  <c r="F89" s="1"/>
  <c r="E90"/>
  <c r="F90" s="1"/>
  <c r="G90" s="1"/>
  <c r="I90" s="1"/>
  <c r="O90"/>
  <c r="O100" s="1"/>
  <c r="E91"/>
  <c r="F91"/>
  <c r="G91" s="1"/>
  <c r="I91" s="1"/>
  <c r="E92"/>
  <c r="F92"/>
  <c r="G92" s="1"/>
  <c r="I92" s="1"/>
  <c r="E93"/>
  <c r="F93"/>
  <c r="G93" s="1"/>
  <c r="I93" s="1"/>
  <c r="O93"/>
  <c r="E94"/>
  <c r="F94" s="1"/>
  <c r="G94" s="1"/>
  <c r="I94" s="1"/>
  <c r="O94"/>
  <c r="E95"/>
  <c r="F95"/>
  <c r="G95" s="1"/>
  <c r="I95" s="1"/>
  <c r="B96"/>
  <c r="E96"/>
  <c r="F96" s="1"/>
  <c r="G96" s="1"/>
  <c r="I96" s="1"/>
  <c r="O96"/>
  <c r="E97"/>
  <c r="F97"/>
  <c r="G97" s="1"/>
  <c r="I97" s="1"/>
  <c r="E98"/>
  <c r="F98"/>
  <c r="C100"/>
  <c r="D100"/>
  <c r="H100"/>
  <c r="J100"/>
  <c r="K100"/>
  <c r="L100"/>
  <c r="E109"/>
  <c r="F109" s="1"/>
  <c r="E110"/>
  <c r="F110" s="1"/>
  <c r="G110" s="1"/>
  <c r="I110" s="1"/>
  <c r="E111"/>
  <c r="F111" s="1"/>
  <c r="G111" s="1"/>
  <c r="I111" s="1"/>
  <c r="E112"/>
  <c r="F112" s="1"/>
  <c r="G112" s="1"/>
  <c r="I112" s="1"/>
  <c r="E113"/>
  <c r="F113" s="1"/>
  <c r="G113" s="1"/>
  <c r="I113" s="1"/>
  <c r="E114"/>
  <c r="F114" s="1"/>
  <c r="G114" s="1"/>
  <c r="I114" s="1"/>
  <c r="E115"/>
  <c r="F115" s="1"/>
  <c r="G115" s="1"/>
  <c r="I115" s="1"/>
  <c r="B116"/>
  <c r="E116"/>
  <c r="F116"/>
  <c r="G116" s="1"/>
  <c r="I116" s="1"/>
  <c r="E117"/>
  <c r="F117"/>
  <c r="G117" s="1"/>
  <c r="I117" s="1"/>
  <c r="E118"/>
  <c r="F118"/>
  <c r="C120"/>
  <c r="D120"/>
  <c r="H120"/>
  <c r="J120"/>
  <c r="K120"/>
  <c r="L120"/>
  <c r="O120"/>
  <c r="E128"/>
  <c r="F128" s="1"/>
  <c r="O128"/>
  <c r="E129"/>
  <c r="F129"/>
  <c r="G129" s="1"/>
  <c r="I129" s="1"/>
  <c r="O129"/>
  <c r="E130"/>
  <c r="F130" s="1"/>
  <c r="G130" s="1"/>
  <c r="I130" s="1"/>
  <c r="O130"/>
  <c r="E131"/>
  <c r="F131"/>
  <c r="G131" s="1"/>
  <c r="I131" s="1"/>
  <c r="O131"/>
  <c r="E132"/>
  <c r="F132" s="1"/>
  <c r="G132" s="1"/>
  <c r="I132" s="1"/>
  <c r="O132"/>
  <c r="E133"/>
  <c r="F133"/>
  <c r="G133" s="1"/>
  <c r="I133" s="1"/>
  <c r="O133"/>
  <c r="E134"/>
  <c r="F134" s="1"/>
  <c r="G134" s="1"/>
  <c r="I134" s="1"/>
  <c r="O134"/>
  <c r="B135"/>
  <c r="E135"/>
  <c r="F135" s="1"/>
  <c r="G135" s="1"/>
  <c r="I135" s="1"/>
  <c r="O135"/>
  <c r="E136"/>
  <c r="F136"/>
  <c r="G136" s="1"/>
  <c r="I136" s="1"/>
  <c r="O136"/>
  <c r="E137"/>
  <c r="F137" s="1"/>
  <c r="C139"/>
  <c r="D139"/>
  <c r="E139"/>
  <c r="H139"/>
  <c r="J139"/>
  <c r="K139"/>
  <c r="L139"/>
  <c r="O139"/>
  <c r="E147"/>
  <c r="F147"/>
  <c r="G147" s="1"/>
  <c r="O147"/>
  <c r="E148"/>
  <c r="F148" s="1"/>
  <c r="O148"/>
  <c r="O158" s="1"/>
  <c r="E149"/>
  <c r="F149"/>
  <c r="G149" s="1"/>
  <c r="I149" s="1"/>
  <c r="O149"/>
  <c r="E150"/>
  <c r="F150" s="1"/>
  <c r="G150" s="1"/>
  <c r="I150" s="1"/>
  <c r="O150"/>
  <c r="E151"/>
  <c r="F151"/>
  <c r="G151" s="1"/>
  <c r="I151" s="1"/>
  <c r="O151"/>
  <c r="E152"/>
  <c r="F152" s="1"/>
  <c r="G152" s="1"/>
  <c r="I152" s="1"/>
  <c r="O152"/>
  <c r="E153"/>
  <c r="F153"/>
  <c r="G153" s="1"/>
  <c r="I153" s="1"/>
  <c r="O153"/>
  <c r="B154"/>
  <c r="E154"/>
  <c r="F154"/>
  <c r="G154" s="1"/>
  <c r="I154" s="1"/>
  <c r="O154"/>
  <c r="E155"/>
  <c r="F155" s="1"/>
  <c r="G155" s="1"/>
  <c r="I155" s="1"/>
  <c r="O155"/>
  <c r="E156"/>
  <c r="F156"/>
  <c r="C158"/>
  <c r="D158"/>
  <c r="H158"/>
  <c r="J158"/>
  <c r="K158"/>
  <c r="L158"/>
  <c r="S9" i="1"/>
  <c r="T9"/>
  <c r="U9"/>
  <c r="E10"/>
  <c r="F10"/>
  <c r="G10" s="1"/>
  <c r="S10"/>
  <c r="T10"/>
  <c r="U10" s="1"/>
  <c r="E11"/>
  <c r="F11" s="1"/>
  <c r="G11" s="1"/>
  <c r="I11" s="1"/>
  <c r="O11"/>
  <c r="S11"/>
  <c r="T11"/>
  <c r="U11" s="1"/>
  <c r="E12"/>
  <c r="F12" s="1"/>
  <c r="G12" s="1"/>
  <c r="I12" s="1"/>
  <c r="S12"/>
  <c r="T12"/>
  <c r="U12"/>
  <c r="E13"/>
  <c r="F13"/>
  <c r="G13" s="1"/>
  <c r="I13" s="1"/>
  <c r="S13"/>
  <c r="T13"/>
  <c r="U13" s="1"/>
  <c r="E14"/>
  <c r="F14" s="1"/>
  <c r="G14" s="1"/>
  <c r="I14" s="1"/>
  <c r="O14"/>
  <c r="E15"/>
  <c r="F15"/>
  <c r="G15" s="1"/>
  <c r="I15" s="1"/>
  <c r="O15"/>
  <c r="E16"/>
  <c r="F16" s="1"/>
  <c r="G16" s="1"/>
  <c r="I16" s="1"/>
  <c r="O16"/>
  <c r="B17"/>
  <c r="E17"/>
  <c r="F17" s="1"/>
  <c r="G17" s="1"/>
  <c r="I17" s="1"/>
  <c r="O17"/>
  <c r="E18"/>
  <c r="F18"/>
  <c r="G18" s="1"/>
  <c r="I18" s="1"/>
  <c r="O18"/>
  <c r="E19"/>
  <c r="F19" s="1"/>
  <c r="C21"/>
  <c r="D21"/>
  <c r="E21"/>
  <c r="H21"/>
  <c r="J21"/>
  <c r="K21"/>
  <c r="L21"/>
  <c r="O21"/>
  <c r="E30"/>
  <c r="F30"/>
  <c r="G30" s="1"/>
  <c r="O30"/>
  <c r="E31"/>
  <c r="F31" s="1"/>
  <c r="G31" s="1"/>
  <c r="I31" s="1"/>
  <c r="O31"/>
  <c r="E32"/>
  <c r="F32"/>
  <c r="G32" s="1"/>
  <c r="I32" s="1"/>
  <c r="O32"/>
  <c r="E33"/>
  <c r="F33" s="1"/>
  <c r="G33" s="1"/>
  <c r="I33" s="1"/>
  <c r="O33"/>
  <c r="E34"/>
  <c r="F34"/>
  <c r="G34" s="1"/>
  <c r="I34" s="1"/>
  <c r="O34"/>
  <c r="E35"/>
  <c r="F35" s="1"/>
  <c r="G35" s="1"/>
  <c r="I35" s="1"/>
  <c r="O35"/>
  <c r="E36"/>
  <c r="F36"/>
  <c r="G36" s="1"/>
  <c r="I36" s="1"/>
  <c r="O36"/>
  <c r="B37"/>
  <c r="E37"/>
  <c r="F37"/>
  <c r="G37" s="1"/>
  <c r="I37" s="1"/>
  <c r="O37"/>
  <c r="E38"/>
  <c r="F38" s="1"/>
  <c r="G38" s="1"/>
  <c r="I38" s="1"/>
  <c r="E39"/>
  <c r="F39" s="1"/>
  <c r="C41"/>
  <c r="D41"/>
  <c r="E41"/>
  <c r="H41"/>
  <c r="J41"/>
  <c r="K41"/>
  <c r="L41"/>
  <c r="O41"/>
  <c r="E49"/>
  <c r="F49"/>
  <c r="G49" s="1"/>
  <c r="O49"/>
  <c r="E50"/>
  <c r="F50" s="1"/>
  <c r="O50"/>
  <c r="O60" s="1"/>
  <c r="E51"/>
  <c r="F51"/>
  <c r="G51" s="1"/>
  <c r="I51" s="1"/>
  <c r="O51"/>
  <c r="E52"/>
  <c r="F52" s="1"/>
  <c r="G52" s="1"/>
  <c r="I52" s="1"/>
  <c r="O52"/>
  <c r="E53"/>
  <c r="F53"/>
  <c r="G53" s="1"/>
  <c r="I53" s="1"/>
  <c r="O53"/>
  <c r="E54"/>
  <c r="F54" s="1"/>
  <c r="G54" s="1"/>
  <c r="I54" s="1"/>
  <c r="O54"/>
  <c r="E55"/>
  <c r="F55"/>
  <c r="G55" s="1"/>
  <c r="I55" s="1"/>
  <c r="O55"/>
  <c r="B56"/>
  <c r="E56"/>
  <c r="F56"/>
  <c r="G56" s="1"/>
  <c r="I56" s="1"/>
  <c r="O56"/>
  <c r="E57"/>
  <c r="F57" s="1"/>
  <c r="G57" s="1"/>
  <c r="I57" s="1"/>
  <c r="O57"/>
  <c r="E58"/>
  <c r="F58"/>
  <c r="C60"/>
  <c r="D60"/>
  <c r="H60"/>
  <c r="J60"/>
  <c r="K60"/>
  <c r="L60"/>
  <c r="E68"/>
  <c r="F68" s="1"/>
  <c r="O68"/>
  <c r="O79" s="1"/>
  <c r="E69"/>
  <c r="F69"/>
  <c r="G69" s="1"/>
  <c r="I69" s="1"/>
  <c r="O69"/>
  <c r="E70"/>
  <c r="F70" s="1"/>
  <c r="G70" s="1"/>
  <c r="I70" s="1"/>
  <c r="O70"/>
  <c r="E71"/>
  <c r="F71"/>
  <c r="G71" s="1"/>
  <c r="I71" s="1"/>
  <c r="O71"/>
  <c r="E72"/>
  <c r="F72" s="1"/>
  <c r="G72" s="1"/>
  <c r="I72" s="1"/>
  <c r="O72"/>
  <c r="E73"/>
  <c r="F73"/>
  <c r="G73" s="1"/>
  <c r="I73" s="1"/>
  <c r="O73"/>
  <c r="E74"/>
  <c r="F74" s="1"/>
  <c r="G74" s="1"/>
  <c r="I74" s="1"/>
  <c r="O74"/>
  <c r="B75"/>
  <c r="E75"/>
  <c r="F75" s="1"/>
  <c r="G75" s="1"/>
  <c r="I75" s="1"/>
  <c r="E76"/>
  <c r="F76" s="1"/>
  <c r="G76" s="1"/>
  <c r="I76" s="1"/>
  <c r="O76"/>
  <c r="E77"/>
  <c r="F77"/>
  <c r="C79"/>
  <c r="D79"/>
  <c r="H79"/>
  <c r="J79"/>
  <c r="K79"/>
  <c r="L79"/>
  <c r="E89"/>
  <c r="F89" s="1"/>
  <c r="O89"/>
  <c r="E90"/>
  <c r="F90"/>
  <c r="G90" s="1"/>
  <c r="I90" s="1"/>
  <c r="O90"/>
  <c r="E91"/>
  <c r="F91" s="1"/>
  <c r="G91" s="1"/>
  <c r="I91" s="1"/>
  <c r="O91"/>
  <c r="E92"/>
  <c r="F92"/>
  <c r="G92" s="1"/>
  <c r="I92" s="1"/>
  <c r="O92"/>
  <c r="E93"/>
  <c r="F93" s="1"/>
  <c r="G93" s="1"/>
  <c r="I93" s="1"/>
  <c r="O93"/>
  <c r="E94"/>
  <c r="F94"/>
  <c r="G94" s="1"/>
  <c r="I94" s="1"/>
  <c r="E95"/>
  <c r="F95"/>
  <c r="G95" s="1"/>
  <c r="I95" s="1"/>
  <c r="O95"/>
  <c r="B96"/>
  <c r="E96"/>
  <c r="F96"/>
  <c r="G96" s="1"/>
  <c r="I96" s="1"/>
  <c r="O96"/>
  <c r="E97"/>
  <c r="F97" s="1"/>
  <c r="G97" s="1"/>
  <c r="I97" s="1"/>
  <c r="O97"/>
  <c r="E98"/>
  <c r="F98"/>
  <c r="C100"/>
  <c r="D100"/>
  <c r="H100"/>
  <c r="J100"/>
  <c r="K100"/>
  <c r="L100"/>
  <c r="N100"/>
  <c r="O100"/>
  <c r="E109"/>
  <c r="F109"/>
  <c r="G109" s="1"/>
  <c r="E110"/>
  <c r="F110"/>
  <c r="G110" s="1"/>
  <c r="I110" s="1"/>
  <c r="E111"/>
  <c r="F111"/>
  <c r="G111" s="1"/>
  <c r="I111" s="1"/>
  <c r="E112"/>
  <c r="F112"/>
  <c r="G112" s="1"/>
  <c r="I112" s="1"/>
  <c r="E113"/>
  <c r="F113"/>
  <c r="G113" s="1"/>
  <c r="I113" s="1"/>
  <c r="E114"/>
  <c r="F114"/>
  <c r="G114" s="1"/>
  <c r="I114" s="1"/>
  <c r="E115"/>
  <c r="F115"/>
  <c r="G115" s="1"/>
  <c r="I115" s="1"/>
  <c r="B116"/>
  <c r="E116"/>
  <c r="F116" s="1"/>
  <c r="G116" s="1"/>
  <c r="I116" s="1"/>
  <c r="E117"/>
  <c r="F117" s="1"/>
  <c r="G117" s="1"/>
  <c r="I117" s="1"/>
  <c r="E118"/>
  <c r="F118" s="1"/>
  <c r="C120"/>
  <c r="D120"/>
  <c r="E120"/>
  <c r="H120"/>
  <c r="J120"/>
  <c r="K120"/>
  <c r="L120"/>
  <c r="O120"/>
  <c r="E128"/>
  <c r="F128"/>
  <c r="G128" s="1"/>
  <c r="O128"/>
  <c r="E129"/>
  <c r="F129" s="1"/>
  <c r="O129"/>
  <c r="E130"/>
  <c r="F130"/>
  <c r="G130" s="1"/>
  <c r="I130" s="1"/>
  <c r="O130"/>
  <c r="E131"/>
  <c r="F131" s="1"/>
  <c r="G131" s="1"/>
  <c r="I131" s="1"/>
  <c r="O131"/>
  <c r="E132"/>
  <c r="F132"/>
  <c r="G132" s="1"/>
  <c r="I132" s="1"/>
  <c r="O132"/>
  <c r="E133"/>
  <c r="F133" s="1"/>
  <c r="G133" s="1"/>
  <c r="I133" s="1"/>
  <c r="O133"/>
  <c r="E134"/>
  <c r="F134"/>
  <c r="G134" s="1"/>
  <c r="I134" s="1"/>
  <c r="O134"/>
  <c r="B135"/>
  <c r="E135"/>
  <c r="F135"/>
  <c r="G135" s="1"/>
  <c r="I135" s="1"/>
  <c r="O135"/>
  <c r="E136"/>
  <c r="F136" s="1"/>
  <c r="G136" s="1"/>
  <c r="I136" s="1"/>
  <c r="O136"/>
  <c r="E137"/>
  <c r="F137"/>
  <c r="C139"/>
  <c r="D139"/>
  <c r="H139"/>
  <c r="J139"/>
  <c r="K139"/>
  <c r="L139"/>
  <c r="N139"/>
  <c r="O139"/>
  <c r="E147"/>
  <c r="F147"/>
  <c r="G147" s="1"/>
  <c r="O147"/>
  <c r="E148"/>
  <c r="F148" s="1"/>
  <c r="O148"/>
  <c r="E149"/>
  <c r="F149"/>
  <c r="G149" s="1"/>
  <c r="I149" s="1"/>
  <c r="O149"/>
  <c r="E150"/>
  <c r="F150" s="1"/>
  <c r="G150" s="1"/>
  <c r="I150" s="1"/>
  <c r="O150"/>
  <c r="E151"/>
  <c r="F151"/>
  <c r="G151" s="1"/>
  <c r="I151" s="1"/>
  <c r="O151"/>
  <c r="E152"/>
  <c r="F152" s="1"/>
  <c r="G152" s="1"/>
  <c r="I152" s="1"/>
  <c r="O152"/>
  <c r="E153"/>
  <c r="F153"/>
  <c r="G153" s="1"/>
  <c r="I153" s="1"/>
  <c r="O153"/>
  <c r="B154"/>
  <c r="E154"/>
  <c r="F154"/>
  <c r="G154" s="1"/>
  <c r="I154" s="1"/>
  <c r="O154"/>
  <c r="E155"/>
  <c r="F155" s="1"/>
  <c r="G155" s="1"/>
  <c r="I155" s="1"/>
  <c r="O155"/>
  <c r="E156"/>
  <c r="F156"/>
  <c r="C158"/>
  <c r="D158"/>
  <c r="H158"/>
  <c r="J158"/>
  <c r="K158"/>
  <c r="L158"/>
  <c r="N158"/>
  <c r="O158"/>
  <c r="G68" l="1"/>
  <c r="F79"/>
  <c r="G148" i="4"/>
  <c r="I148" s="1"/>
  <c r="F158"/>
  <c r="I147"/>
  <c r="I158" s="1"/>
  <c r="G158"/>
  <c r="G109"/>
  <c r="F120"/>
  <c r="G69"/>
  <c r="I69" s="1"/>
  <c r="F79"/>
  <c r="I68"/>
  <c r="I79" s="1"/>
  <c r="G79"/>
  <c r="G31"/>
  <c r="I31" s="1"/>
  <c r="F41"/>
  <c r="I30"/>
  <c r="I41" s="1"/>
  <c r="G41"/>
  <c r="G10"/>
  <c r="F21"/>
  <c r="G148" i="1"/>
  <c r="I148" s="1"/>
  <c r="F158"/>
  <c r="I147"/>
  <c r="I158" s="1"/>
  <c r="G158"/>
  <c r="G129"/>
  <c r="I129" s="1"/>
  <c r="F139"/>
  <c r="I128"/>
  <c r="I139" s="1"/>
  <c r="G139"/>
  <c r="I109"/>
  <c r="I120" s="1"/>
  <c r="G120"/>
  <c r="G89"/>
  <c r="F100"/>
  <c r="G50"/>
  <c r="I50" s="1"/>
  <c r="F60"/>
  <c r="I49"/>
  <c r="I60" s="1"/>
  <c r="G60"/>
  <c r="I30"/>
  <c r="I41" s="1"/>
  <c r="G41"/>
  <c r="I10"/>
  <c r="I21" s="1"/>
  <c r="G21"/>
  <c r="G128" i="4"/>
  <c r="F139"/>
  <c r="G89"/>
  <c r="F100"/>
  <c r="G49"/>
  <c r="F60"/>
  <c r="G110" i="2"/>
  <c r="I110" s="1"/>
  <c r="F120"/>
  <c r="I109"/>
  <c r="I120" s="1"/>
  <c r="G120"/>
  <c r="G89"/>
  <c r="F100"/>
  <c r="G31"/>
  <c r="I31" s="1"/>
  <c r="F41"/>
  <c r="I30"/>
  <c r="I41" s="1"/>
  <c r="G41"/>
  <c r="G10"/>
  <c r="F21"/>
  <c r="G147" i="3"/>
  <c r="F158"/>
  <c r="G89"/>
  <c r="F100"/>
  <c r="I49"/>
  <c r="I60" s="1"/>
  <c r="G60"/>
  <c r="F21"/>
  <c r="G10"/>
  <c r="E158" i="1"/>
  <c r="E139"/>
  <c r="F120"/>
  <c r="E100"/>
  <c r="E79"/>
  <c r="E60"/>
  <c r="F41"/>
  <c r="F21"/>
  <c r="E158" i="4"/>
  <c r="E120"/>
  <c r="E100"/>
  <c r="E79"/>
  <c r="E41"/>
  <c r="F148" i="2"/>
  <c r="E158"/>
  <c r="G128"/>
  <c r="F139"/>
  <c r="G68"/>
  <c r="F79"/>
  <c r="G49"/>
  <c r="F60"/>
  <c r="F139" i="3"/>
  <c r="G128"/>
  <c r="F120"/>
  <c r="G109"/>
  <c r="G69"/>
  <c r="I69" s="1"/>
  <c r="F79"/>
  <c r="G79"/>
  <c r="I68"/>
  <c r="I79" s="1"/>
  <c r="I30"/>
  <c r="I41" s="1"/>
  <c r="G41"/>
  <c r="E120" i="2"/>
  <c r="E79"/>
  <c r="E60"/>
  <c r="E41"/>
  <c r="E139" i="3"/>
  <c r="E100"/>
  <c r="E79"/>
  <c r="F60"/>
  <c r="F41"/>
  <c r="M66" i="5"/>
  <c r="I49" i="2" l="1"/>
  <c r="I60" s="1"/>
  <c r="G60"/>
  <c r="I68"/>
  <c r="I79" s="1"/>
  <c r="G79"/>
  <c r="G139"/>
  <c r="I128"/>
  <c r="I139" s="1"/>
  <c r="G148"/>
  <c r="F158"/>
  <c r="I89" i="3"/>
  <c r="I100" s="1"/>
  <c r="G100"/>
  <c r="G158"/>
  <c r="I147"/>
  <c r="I158" s="1"/>
  <c r="G21" i="2"/>
  <c r="I10"/>
  <c r="I21" s="1"/>
  <c r="G100"/>
  <c r="I89"/>
  <c r="I100" s="1"/>
  <c r="G60" i="4"/>
  <c r="I49"/>
  <c r="I60" s="1"/>
  <c r="I89"/>
  <c r="I100" s="1"/>
  <c r="G100"/>
  <c r="G139"/>
  <c r="I128"/>
  <c r="I139" s="1"/>
  <c r="I89" i="1"/>
  <c r="I100" s="1"/>
  <c r="G100"/>
  <c r="G21" i="4"/>
  <c r="I10"/>
  <c r="I21" s="1"/>
  <c r="I109"/>
  <c r="I120" s="1"/>
  <c r="G120"/>
  <c r="I68" i="1"/>
  <c r="I79" s="1"/>
  <c r="G79"/>
  <c r="I109" i="3"/>
  <c r="I120" s="1"/>
  <c r="G120"/>
  <c r="I128"/>
  <c r="I139" s="1"/>
  <c r="G139"/>
  <c r="I10"/>
  <c r="I21" s="1"/>
  <c r="G21"/>
  <c r="I148" i="2" l="1"/>
  <c r="I158" s="1"/>
  <c r="G158"/>
</calcChain>
</file>

<file path=xl/sharedStrings.xml><?xml version="1.0" encoding="utf-8"?>
<sst xmlns="http://schemas.openxmlformats.org/spreadsheetml/2006/main" count="1326" uniqueCount="193">
  <si>
    <t>Consumo de oxígeno de juveniles de P. setiferus: Efecto de los niveles de carbohidratos en la Dieta</t>
  </si>
  <si>
    <t>Dietas formuladas por Gerard Cuzon y Fabricadas en el Laboratorio</t>
  </si>
  <si>
    <t>18 de agosto de 1998</t>
  </si>
  <si>
    <t xml:space="preserve">Dieta F </t>
  </si>
  <si>
    <t>Respirómetro de flujo conectado a bomba eristáltica</t>
  </si>
  <si>
    <t xml:space="preserve"> </t>
  </si>
  <si>
    <t>*62.5</t>
  </si>
  <si>
    <t>*58.9</t>
  </si>
  <si>
    <t>O:N</t>
  </si>
  <si>
    <t>AYUNO 08</t>
  </si>
  <si>
    <t>Consumo de oxigeno</t>
  </si>
  <si>
    <t>VO2</t>
  </si>
  <si>
    <t>N-NH3</t>
  </si>
  <si>
    <t>OXIGENO, mg/l</t>
  </si>
  <si>
    <t>Flujo</t>
  </si>
  <si>
    <t>CONSUMO DE OXIGENO</t>
  </si>
  <si>
    <t>peso húmedo</t>
  </si>
  <si>
    <t>peso seco</t>
  </si>
  <si>
    <t>NH3mg/ej/h</t>
  </si>
  <si>
    <t>NH3</t>
  </si>
  <si>
    <t>Tiempo</t>
  </si>
  <si>
    <t>mg/h/g</t>
  </si>
  <si>
    <t>NH3mg/h/g</t>
  </si>
  <si>
    <t>ugAt/h/gph</t>
  </si>
  <si>
    <t>No.</t>
  </si>
  <si>
    <t>Entrada</t>
  </si>
  <si>
    <t>Salida</t>
  </si>
  <si>
    <t>seg/50ml</t>
  </si>
  <si>
    <t xml:space="preserve">     L/hr</t>
  </si>
  <si>
    <t>mg O2/h/ani</t>
  </si>
  <si>
    <t>*mgO2/h/an</t>
  </si>
  <si>
    <t xml:space="preserve">       g</t>
  </si>
  <si>
    <t>mgO2/h/gph</t>
  </si>
  <si>
    <t>mgO2/h/gps</t>
  </si>
  <si>
    <t>mg/h/gph</t>
  </si>
  <si>
    <t>CONTROL 10</t>
  </si>
  <si>
    <t>Primera alimentados 10hrs+A48</t>
  </si>
  <si>
    <t>Salida 1</t>
  </si>
  <si>
    <t>Segunda Alimentados</t>
  </si>
  <si>
    <t>11 hrs</t>
  </si>
  <si>
    <t>Tercera de Alimentados</t>
  </si>
  <si>
    <t>12 hrs</t>
  </si>
  <si>
    <t>Cuarta de Alimentados</t>
  </si>
  <si>
    <t>13 hrs</t>
  </si>
  <si>
    <t>Quinta hora alimentados</t>
  </si>
  <si>
    <t>14 hrs</t>
  </si>
  <si>
    <t>Sexta Hora alimentados</t>
  </si>
  <si>
    <t>15 hrs</t>
  </si>
  <si>
    <t>Septima Hora alimentados</t>
  </si>
  <si>
    <t>16 Hrs</t>
  </si>
  <si>
    <t>NH3 mg/ej/h</t>
  </si>
  <si>
    <t>NH3 mg/ej/h dieta D ayuno</t>
  </si>
  <si>
    <t>NH3 mg/ej/h dieta D alimentados 2 horas</t>
  </si>
  <si>
    <t>19 de agosto de 1998</t>
  </si>
  <si>
    <t>Dieta C</t>
  </si>
  <si>
    <t>20 de agosto de 1998</t>
  </si>
  <si>
    <t>Dieta A</t>
  </si>
  <si>
    <t>21 de agosto de 1998</t>
  </si>
  <si>
    <t>Dieta D</t>
  </si>
  <si>
    <t>Respirómetro de flujo conectado a bomba Peristáltica</t>
  </si>
  <si>
    <t>Regresiones de los valores de consumo de oxigeno vs peso corporal P. setiferus alimentados con 4 dietas formuladas</t>
  </si>
  <si>
    <t>por G. Cuzon. Julio- agosto de 1998</t>
  </si>
  <si>
    <t>Dieta F</t>
  </si>
  <si>
    <t>Ayuno</t>
  </si>
  <si>
    <t>DIETA A</t>
  </si>
  <si>
    <t>aYUNO</t>
  </si>
  <si>
    <t>DIETA D</t>
  </si>
  <si>
    <t>LNVO2</t>
  </si>
  <si>
    <t>LNPESO</t>
  </si>
  <si>
    <t xml:space="preserve">       R2</t>
  </si>
  <si>
    <t xml:space="preserve">  pendiente</t>
  </si>
  <si>
    <t xml:space="preserve">       b</t>
  </si>
  <si>
    <t>ln y= 1.33ln x + ln(1.30)</t>
  </si>
  <si>
    <t>ln y= 2.35ln x + ln(1.40)</t>
  </si>
  <si>
    <t>ln y= 0.78ln x + ln(0.99)</t>
  </si>
  <si>
    <t>ln y= 0.76ln x + ln(1.03)</t>
  </si>
  <si>
    <t>Y = 3.66XE1.33</t>
  </si>
  <si>
    <t>Y = 4.05XE2.35</t>
  </si>
  <si>
    <t>Y = 2.66XE0.78</t>
  </si>
  <si>
    <t>Y = 2.80XE0.76</t>
  </si>
  <si>
    <t>Primera alimentados</t>
  </si>
  <si>
    <t>PRIMERA</t>
  </si>
  <si>
    <t>ln y= 0.86ln x + ln(0.99)</t>
  </si>
  <si>
    <t>ln y= 2.39ln x + ln(1.44)</t>
  </si>
  <si>
    <t>ln y= 1.03ln x + ln(0.88)</t>
  </si>
  <si>
    <t>ln y= 2.3ln x + ln(0.98)</t>
  </si>
  <si>
    <t>Y = 2.69XE0.86</t>
  </si>
  <si>
    <t>Y = 4.22XE2.39</t>
  </si>
  <si>
    <t>Y = 2.41XE1.04</t>
  </si>
  <si>
    <t>Y = 2.66XE2.3</t>
  </si>
  <si>
    <t>Segunda alimentados</t>
  </si>
  <si>
    <t>SEGUNDA</t>
  </si>
  <si>
    <t>ln y= 0.73ln x + ln(1.24)</t>
  </si>
  <si>
    <t>ln y= 2.01ln x + ln(1.48)</t>
  </si>
  <si>
    <t>ln y= 0.75ln x + ln(1.11)</t>
  </si>
  <si>
    <t>ln y= 3.06ln x + ln(1.18)</t>
  </si>
  <si>
    <t>Y = 3.45XE0.73</t>
  </si>
  <si>
    <t>Y = 4.39XE2.01</t>
  </si>
  <si>
    <t>Y = 3.03XE0.75</t>
  </si>
  <si>
    <t>Y = 3.25XE3.06</t>
  </si>
  <si>
    <t>tercera alimentados</t>
  </si>
  <si>
    <t>TERCERA</t>
  </si>
  <si>
    <t>ln y= 1.45ln x + ln(1.17)</t>
  </si>
  <si>
    <t>ln y= 2.45ln x + ln(1.57)</t>
  </si>
  <si>
    <t>ln y= 0.74ln x + ln(1.06)</t>
  </si>
  <si>
    <t>ln y= 1.26ln x + ln(0.94)</t>
  </si>
  <si>
    <t>Y = 3.22XE1.45</t>
  </si>
  <si>
    <t>Y = 4.80XE2.45</t>
  </si>
  <si>
    <t>Y = 2.88XE0.74</t>
  </si>
  <si>
    <t>Y = 2.55XE1.26</t>
  </si>
  <si>
    <t>Cuarta de alimentados</t>
  </si>
  <si>
    <t>CUARTA</t>
  </si>
  <si>
    <t>ln y= 1.73ln x + ln(1.21)</t>
  </si>
  <si>
    <t>ln y= 2.43ln x + ln(1.36)</t>
  </si>
  <si>
    <t>ln y= 1.02ln x + ln(0.93)</t>
  </si>
  <si>
    <t>ln y= 0.15ln x + ln(0.72)</t>
  </si>
  <si>
    <t>Y =a2.35XE1.73</t>
  </si>
  <si>
    <t>Y = 3.89XE2.43</t>
  </si>
  <si>
    <t>Y = 2.53XE1.02</t>
  </si>
  <si>
    <t>Y = 2.05XE0.15</t>
  </si>
  <si>
    <t>Dietas</t>
  </si>
  <si>
    <t>CBH</t>
  </si>
  <si>
    <t>PROTEINA</t>
  </si>
  <si>
    <t>F</t>
  </si>
  <si>
    <t>Consumo de oxigeno en relacion al tiempo</t>
  </si>
  <si>
    <t>D</t>
  </si>
  <si>
    <t>C</t>
  </si>
  <si>
    <t>mgO2/h g pH</t>
  </si>
  <si>
    <t>Dieta</t>
  </si>
  <si>
    <t>A</t>
  </si>
  <si>
    <t>TIEMPO</t>
  </si>
  <si>
    <t>6/44</t>
  </si>
  <si>
    <t>15/38</t>
  </si>
  <si>
    <t>23/33</t>
  </si>
  <si>
    <t>32/27</t>
  </si>
  <si>
    <t>L. setiferus</t>
  </si>
  <si>
    <t>L. vannamei</t>
  </si>
  <si>
    <t>CBH/Protein</t>
  </si>
  <si>
    <t>% de Incremento</t>
  </si>
  <si>
    <t>P. setif</t>
  </si>
  <si>
    <t>P. vanna</t>
  </si>
  <si>
    <t>ICA</t>
  </si>
  <si>
    <t>Alimento consumido</t>
  </si>
  <si>
    <t>Al Cons</t>
  </si>
  <si>
    <t>Alimento</t>
  </si>
  <si>
    <t>Ali ons</t>
  </si>
  <si>
    <t>ICA % de Energía Ingerida</t>
  </si>
  <si>
    <t>j/h/g pH</t>
  </si>
  <si>
    <t>g/animal</t>
  </si>
  <si>
    <t>Peso animales</t>
  </si>
  <si>
    <t>g/g animal</t>
  </si>
  <si>
    <t>joules/g</t>
  </si>
  <si>
    <t>joules/g animal</t>
  </si>
  <si>
    <t>16</t>
  </si>
  <si>
    <t>*20.5</t>
  </si>
  <si>
    <t>Excreción de amonio, ayuno, mg/h/gph</t>
  </si>
  <si>
    <t>PPNE (ICA)</t>
  </si>
  <si>
    <t>PPNE (ICA) % de Energía Ingerida</t>
  </si>
  <si>
    <t xml:space="preserve">Dieta </t>
  </si>
  <si>
    <t>Pre-prandial</t>
  </si>
  <si>
    <t>Post-prandial</t>
  </si>
  <si>
    <t>joules/h/g</t>
  </si>
  <si>
    <t>P. setiferus</t>
  </si>
  <si>
    <t>PPNE</t>
  </si>
  <si>
    <t>jouls/h/g/pH</t>
  </si>
  <si>
    <t>O:N Fasting</t>
  </si>
  <si>
    <t>O:N Feeding</t>
  </si>
  <si>
    <t>Crecimiento de P. setiferus alimentados con las distintas dietas</t>
  </si>
  <si>
    <t>Dieta F, T-2</t>
  </si>
  <si>
    <t>Dieta F,T-13</t>
  </si>
  <si>
    <t>Peso final</t>
  </si>
  <si>
    <t>Tasa</t>
  </si>
  <si>
    <t>Tasa de crecimiento</t>
  </si>
  <si>
    <t>Peso Inicial, g</t>
  </si>
  <si>
    <t xml:space="preserve">        g</t>
  </si>
  <si>
    <t>Peso Inic</t>
  </si>
  <si>
    <t>peso Fin</t>
  </si>
  <si>
    <t>Dias</t>
  </si>
  <si>
    <t>mg/día</t>
  </si>
  <si>
    <t xml:space="preserve">D </t>
  </si>
  <si>
    <t>Diets</t>
  </si>
  <si>
    <t>CBH/Prot,%</t>
  </si>
  <si>
    <t>Dieta C, T8</t>
  </si>
  <si>
    <t>Dieta C, T12</t>
  </si>
  <si>
    <t>pes fin</t>
  </si>
  <si>
    <t>g</t>
  </si>
  <si>
    <t>Dieta A, T6</t>
  </si>
  <si>
    <t>Dieta A, T10</t>
  </si>
  <si>
    <t>Peso fin</t>
  </si>
  <si>
    <t>Dieta D, T9</t>
  </si>
  <si>
    <t>Dieta D, T15</t>
  </si>
  <si>
    <t xml:space="preserve">peso final </t>
  </si>
  <si>
    <t>tasa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</si>
</sst>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0059054834574441"/>
          <c:y val="0.23636416096449081"/>
          <c:w val="0.58702234001181086"/>
          <c:h val="0.47727378656291408"/>
        </c:manualLayout>
      </c:layout>
      <c:barChart>
        <c:barDir val="col"/>
        <c:grouping val="clustered"/>
        <c:ser>
          <c:idx val="1"/>
          <c:order val="0"/>
          <c:tx>
            <c:strRef>
              <c:f>'VO2 F'!$Q$8</c:f>
              <c:strCache>
                <c:ptCount val="1"/>
                <c:pt idx="0">
                  <c:v>mg/h/g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'VO2 F'!$P$9:$P$13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F'!$Q$9:$Q$13</c:f>
              <c:numCache>
                <c:formatCode>General</c:formatCode>
                <c:ptCount val="5"/>
                <c:pt idx="0">
                  <c:v>2.66</c:v>
                </c:pt>
                <c:pt idx="1">
                  <c:v>2.69</c:v>
                </c:pt>
                <c:pt idx="2">
                  <c:v>3.45</c:v>
                </c:pt>
                <c:pt idx="3">
                  <c:v>3.22</c:v>
                </c:pt>
                <c:pt idx="4">
                  <c:v>2.35</c:v>
                </c:pt>
              </c:numCache>
            </c:numRef>
          </c:val>
        </c:ser>
        <c:axId val="171870080"/>
        <c:axId val="171876736"/>
      </c:barChart>
      <c:lineChart>
        <c:grouping val="standard"/>
        <c:ser>
          <c:idx val="0"/>
          <c:order val="1"/>
          <c:tx>
            <c:strRef>
              <c:f>'VO2 F'!$R$8</c:f>
              <c:strCache>
                <c:ptCount val="1"/>
                <c:pt idx="0">
                  <c:v>NH3mg/h/g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'VO2 F'!$P$9:$P$13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F'!$R$9:$R$13</c:f>
              <c:numCache>
                <c:formatCode>General</c:formatCode>
                <c:ptCount val="5"/>
                <c:pt idx="0">
                  <c:v>2.5000000000000001E-2</c:v>
                </c:pt>
                <c:pt idx="1">
                  <c:v>4.8000000000000001E-2</c:v>
                </c:pt>
                <c:pt idx="2">
                  <c:v>4.8000000000000001E-2</c:v>
                </c:pt>
                <c:pt idx="3">
                  <c:v>0.05</c:v>
                </c:pt>
                <c:pt idx="4">
                  <c:v>0.03</c:v>
                </c:pt>
              </c:numCache>
            </c:numRef>
          </c:val>
        </c:ser>
        <c:marker val="1"/>
        <c:axId val="171878656"/>
        <c:axId val="171884544"/>
      </c:lineChart>
      <c:catAx>
        <c:axId val="1718700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87326256355597"/>
              <c:y val="0.836365492643582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876736"/>
        <c:crosses val="autoZero"/>
        <c:lblAlgn val="ctr"/>
        <c:lblOffset val="100"/>
        <c:tickLblSkip val="1"/>
        <c:tickMarkSkip val="1"/>
      </c:catAx>
      <c:valAx>
        <c:axId val="1718767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 mg/h/g ph</a:t>
                </a:r>
              </a:p>
            </c:rich>
          </c:tx>
          <c:layout>
            <c:manualLayout>
              <c:xMode val="edge"/>
              <c:yMode val="edge"/>
              <c:x val="4.7197776081351644E-2"/>
              <c:y val="0.2318186963305582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870080"/>
        <c:crosses val="autoZero"/>
        <c:crossBetween val="between"/>
      </c:valAx>
      <c:catAx>
        <c:axId val="171878656"/>
        <c:scaling>
          <c:orientation val="minMax"/>
        </c:scaling>
        <c:delete val="1"/>
        <c:axPos val="b"/>
        <c:numFmt formatCode="General" sourceLinked="1"/>
        <c:tickLblPos val="none"/>
        <c:crossAx val="171884544"/>
        <c:crosses val="autoZero"/>
        <c:lblAlgn val="ctr"/>
        <c:lblOffset val="100"/>
      </c:catAx>
      <c:valAx>
        <c:axId val="171884544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de amonio, mg/h/g ph</a:t>
                </a:r>
              </a:p>
            </c:rich>
          </c:tx>
          <c:layout>
            <c:manualLayout>
              <c:xMode val="edge"/>
              <c:yMode val="edge"/>
              <c:x val="0.86725913549483646"/>
              <c:y val="0.2318186963305582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878656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5073818543218052"/>
          <c:y val="3.6363717071460126E-2"/>
          <c:w val="0.46902789980843196"/>
          <c:h val="0.1000002219465153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6190513835830164"/>
          <c:y val="0.21367610541910984"/>
          <c:w val="0.64285863759913897"/>
          <c:h val="0.51709617511424566"/>
        </c:manualLayout>
      </c:layout>
      <c:barChart>
        <c:barDir val="col"/>
        <c:grouping val="clustered"/>
        <c:ser>
          <c:idx val="1"/>
          <c:order val="0"/>
          <c:tx>
            <c:strRef>
              <c:f>'VO2 C'!$Q$8</c:f>
              <c:strCache>
                <c:ptCount val="1"/>
                <c:pt idx="0">
                  <c:v>mg/h/g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'VO2 C'!$P$9:$P$13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C'!$Q$9:$Q$13</c:f>
              <c:numCache>
                <c:formatCode>General</c:formatCode>
                <c:ptCount val="5"/>
                <c:pt idx="0">
                  <c:v>4.05</c:v>
                </c:pt>
                <c:pt idx="1">
                  <c:v>4.22</c:v>
                </c:pt>
                <c:pt idx="2">
                  <c:v>4.3899999999999997</c:v>
                </c:pt>
                <c:pt idx="3">
                  <c:v>4.8</c:v>
                </c:pt>
                <c:pt idx="4">
                  <c:v>3.89</c:v>
                </c:pt>
              </c:numCache>
            </c:numRef>
          </c:val>
        </c:ser>
        <c:axId val="171832832"/>
        <c:axId val="171913216"/>
      </c:barChart>
      <c:lineChart>
        <c:grouping val="standard"/>
        <c:ser>
          <c:idx val="0"/>
          <c:order val="1"/>
          <c:tx>
            <c:strRef>
              <c:f>'VO2 C'!$R$8</c:f>
              <c:strCache>
                <c:ptCount val="1"/>
                <c:pt idx="0">
                  <c:v>NH3mg/h/g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'VO2 C'!$P$9:$P$13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C'!$R$9:$R$13</c:f>
              <c:numCache>
                <c:formatCode>General</c:formatCode>
                <c:ptCount val="5"/>
                <c:pt idx="0">
                  <c:v>2E-3</c:v>
                </c:pt>
                <c:pt idx="1">
                  <c:v>0.04</c:v>
                </c:pt>
                <c:pt idx="2">
                  <c:v>0.02</c:v>
                </c:pt>
                <c:pt idx="3">
                  <c:v>8.9999999999999993E-3</c:v>
                </c:pt>
                <c:pt idx="4">
                  <c:v>8.0000000000000002E-3</c:v>
                </c:pt>
              </c:numCache>
            </c:numRef>
          </c:val>
        </c:ser>
        <c:marker val="1"/>
        <c:axId val="171915136"/>
        <c:axId val="171916672"/>
      </c:lineChart>
      <c:catAx>
        <c:axId val="1718328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8333422464244954"/>
              <c:y val="0.8461573774596750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913216"/>
        <c:crosses val="autoZero"/>
        <c:lblAlgn val="ctr"/>
        <c:lblOffset val="100"/>
        <c:tickLblSkip val="1"/>
        <c:tickMarkSkip val="1"/>
      </c:catAx>
      <c:valAx>
        <c:axId val="1719132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mg/h/g ph</a:t>
                </a:r>
              </a:p>
            </c:rich>
          </c:tx>
          <c:layout>
            <c:manualLayout>
              <c:xMode val="edge"/>
              <c:yMode val="edge"/>
              <c:x val="3.8095326672541556E-2"/>
              <c:y val="0.2393172380694030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832832"/>
        <c:crosses val="autoZero"/>
        <c:crossBetween val="between"/>
      </c:valAx>
      <c:catAx>
        <c:axId val="171915136"/>
        <c:scaling>
          <c:orientation val="minMax"/>
        </c:scaling>
        <c:delete val="1"/>
        <c:axPos val="b"/>
        <c:numFmt formatCode="General" sourceLinked="1"/>
        <c:tickLblPos val="none"/>
        <c:crossAx val="171916672"/>
        <c:crosses val="autoZero"/>
        <c:lblAlgn val="ctr"/>
        <c:lblOffset val="100"/>
      </c:catAx>
      <c:valAx>
        <c:axId val="171916672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Excreción nitrogenada mg/h/gph</a:t>
                </a:r>
              </a:p>
            </c:rich>
          </c:tx>
          <c:layout>
            <c:manualLayout>
              <c:xMode val="edge"/>
              <c:yMode val="edge"/>
              <c:x val="0.86904963971735438"/>
              <c:y val="0.3205141581286648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1915136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17857184377753854"/>
          <c:y val="3.4188176867057572E-2"/>
          <c:w val="0.37857230880838177"/>
          <c:h val="9.401748638440833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964285714285714"/>
          <c:y val="0.21097133344596131"/>
          <c:w val="0.56122448979591821"/>
          <c:h val="0.52320890694598388"/>
        </c:manualLayout>
      </c:layout>
      <c:barChart>
        <c:barDir val="col"/>
        <c:grouping val="clustered"/>
        <c:ser>
          <c:idx val="1"/>
          <c:order val="0"/>
          <c:tx>
            <c:strRef>
              <c:f>'VO2 A'!$Q$8</c:f>
              <c:strCache>
                <c:ptCount val="1"/>
                <c:pt idx="0">
                  <c:v>mg/h/g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'VO2 A'!$P$9:$P$13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A'!$Q$9:$Q$13</c:f>
              <c:numCache>
                <c:formatCode>General</c:formatCode>
                <c:ptCount val="5"/>
                <c:pt idx="0">
                  <c:v>2.66</c:v>
                </c:pt>
                <c:pt idx="1">
                  <c:v>2.41</c:v>
                </c:pt>
                <c:pt idx="2">
                  <c:v>3.03</c:v>
                </c:pt>
                <c:pt idx="3">
                  <c:v>2.88</c:v>
                </c:pt>
                <c:pt idx="4">
                  <c:v>2.5299999999999998</c:v>
                </c:pt>
              </c:numCache>
            </c:numRef>
          </c:val>
        </c:ser>
        <c:axId val="172086400"/>
        <c:axId val="172088704"/>
      </c:barChart>
      <c:lineChart>
        <c:grouping val="standard"/>
        <c:ser>
          <c:idx val="0"/>
          <c:order val="1"/>
          <c:tx>
            <c:strRef>
              <c:f>'VO2 A'!$R$8</c:f>
              <c:strCache>
                <c:ptCount val="1"/>
                <c:pt idx="0">
                  <c:v>NH3mg/h/g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'VO2 A'!$P$9:$P$13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A'!$R$9:$R$13</c:f>
              <c:numCache>
                <c:formatCode>General</c:formatCode>
                <c:ptCount val="5"/>
                <c:pt idx="0">
                  <c:v>6.0000000000000001E-3</c:v>
                </c:pt>
                <c:pt idx="1">
                  <c:v>1.4E-2</c:v>
                </c:pt>
                <c:pt idx="2">
                  <c:v>1.7000000000000001E-2</c:v>
                </c:pt>
                <c:pt idx="3">
                  <c:v>6.0000000000000001E-3</c:v>
                </c:pt>
                <c:pt idx="4">
                  <c:v>4.0000000000000001E-3</c:v>
                </c:pt>
              </c:numCache>
            </c:numRef>
          </c:val>
        </c:ser>
        <c:marker val="1"/>
        <c:axId val="172094976"/>
        <c:axId val="172096512"/>
      </c:lineChart>
      <c:catAx>
        <c:axId val="172086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989795918367352"/>
              <c:y val="0.848104760452764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088704"/>
        <c:crosses val="autoZero"/>
        <c:lblAlgn val="ctr"/>
        <c:lblOffset val="100"/>
        <c:tickLblSkip val="1"/>
        <c:tickMarkSkip val="1"/>
      </c:catAx>
      <c:valAx>
        <c:axId val="1720887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 mg/h/gph</a:t>
                </a:r>
              </a:p>
            </c:rich>
          </c:tx>
          <c:layout>
            <c:manualLayout>
              <c:xMode val="edge"/>
              <c:yMode val="edge"/>
              <c:x val="4.0816326530612262E-2"/>
              <c:y val="0.215190760114880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086400"/>
        <c:crosses val="autoZero"/>
        <c:crossBetween val="between"/>
      </c:valAx>
      <c:catAx>
        <c:axId val="172094976"/>
        <c:scaling>
          <c:orientation val="minMax"/>
        </c:scaling>
        <c:delete val="1"/>
        <c:axPos val="b"/>
        <c:numFmt formatCode="General" sourceLinked="1"/>
        <c:tickLblPos val="none"/>
        <c:crossAx val="172096512"/>
        <c:crosses val="autoZero"/>
        <c:lblAlgn val="ctr"/>
        <c:lblOffset val="100"/>
      </c:catAx>
      <c:valAx>
        <c:axId val="172096512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Excerción nitrogenada, mg/h/g ph</a:t>
                </a:r>
              </a:p>
            </c:rich>
          </c:tx>
          <c:layout>
            <c:manualLayout>
              <c:xMode val="edge"/>
              <c:yMode val="edge"/>
              <c:x val="0.85204081632653084"/>
              <c:y val="0.232068466790557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094976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8826530612244905"/>
          <c:y val="3.3755413351353798E-2"/>
          <c:w val="0.40561224489795922"/>
          <c:h val="9.282738671622298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9298292847090498"/>
          <c:y val="0.21186440677966104"/>
          <c:w val="0.59398641620265558"/>
          <c:h val="0.52118644067796605"/>
        </c:manualLayout>
      </c:layout>
      <c:barChart>
        <c:barDir val="col"/>
        <c:grouping val="clustered"/>
        <c:ser>
          <c:idx val="1"/>
          <c:order val="0"/>
          <c:tx>
            <c:strRef>
              <c:f>'VO2 D'!$Q$8</c:f>
              <c:strCache>
                <c:ptCount val="1"/>
                <c:pt idx="0">
                  <c:v>mg/h/g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'VO2 D'!$P$9:$P$13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D'!$Q$9:$Q$13</c:f>
              <c:numCache>
                <c:formatCode>General</c:formatCode>
                <c:ptCount val="5"/>
                <c:pt idx="0">
                  <c:v>2.8</c:v>
                </c:pt>
                <c:pt idx="1">
                  <c:v>2.66</c:v>
                </c:pt>
                <c:pt idx="2">
                  <c:v>3.25</c:v>
                </c:pt>
                <c:pt idx="3">
                  <c:v>2.5499999999999998</c:v>
                </c:pt>
                <c:pt idx="4">
                  <c:v>2.0499999999999998</c:v>
                </c:pt>
              </c:numCache>
            </c:numRef>
          </c:val>
        </c:ser>
        <c:axId val="172196608"/>
        <c:axId val="172198912"/>
      </c:barChart>
      <c:lineChart>
        <c:grouping val="standard"/>
        <c:ser>
          <c:idx val="0"/>
          <c:order val="1"/>
          <c:tx>
            <c:strRef>
              <c:f>'VO2 D'!$R$8</c:f>
              <c:strCache>
                <c:ptCount val="1"/>
                <c:pt idx="0">
                  <c:v>NH3mg/h/g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'VO2 D'!$P$9:$P$13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'VO2 D'!$R$9:$R$13</c:f>
              <c:numCache>
                <c:formatCode>General</c:formatCode>
                <c:ptCount val="5"/>
                <c:pt idx="0">
                  <c:v>1.2E-2</c:v>
                </c:pt>
                <c:pt idx="1">
                  <c:v>4.1000000000000002E-2</c:v>
                </c:pt>
                <c:pt idx="2">
                  <c:v>4.7E-2</c:v>
                </c:pt>
                <c:pt idx="3">
                  <c:v>3.4000000000000002E-2</c:v>
                </c:pt>
                <c:pt idx="4">
                  <c:v>1.6E-2</c:v>
                </c:pt>
              </c:numCache>
            </c:numRef>
          </c:val>
        </c:ser>
        <c:marker val="1"/>
        <c:axId val="172201088"/>
        <c:axId val="172202624"/>
      </c:lineChart>
      <c:catAx>
        <c:axId val="172196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834595851434866"/>
              <c:y val="0.847457627118644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198912"/>
        <c:crosses val="autoZero"/>
        <c:lblAlgn val="ctr"/>
        <c:lblOffset val="100"/>
        <c:tickLblSkip val="1"/>
        <c:tickMarkSkip val="1"/>
      </c:catAx>
      <c:valAx>
        <c:axId val="1721989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oxigeno, mg/h/gph</a:t>
                </a:r>
              </a:p>
            </c:rich>
          </c:tx>
          <c:layout>
            <c:manualLayout>
              <c:xMode val="edge"/>
              <c:yMode val="edge"/>
              <c:x val="4.0100348773175046E-2"/>
              <c:y val="0.2457627118644068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196608"/>
        <c:crosses val="autoZero"/>
        <c:crossBetween val="between"/>
      </c:valAx>
      <c:catAx>
        <c:axId val="172201088"/>
        <c:scaling>
          <c:orientation val="minMax"/>
        </c:scaling>
        <c:delete val="1"/>
        <c:axPos val="b"/>
        <c:numFmt formatCode="General" sourceLinked="1"/>
        <c:tickLblPos val="none"/>
        <c:crossAx val="172202624"/>
        <c:crosses val="autoZero"/>
        <c:lblAlgn val="ctr"/>
        <c:lblOffset val="100"/>
      </c:catAx>
      <c:valAx>
        <c:axId val="172202624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Excrecion nitrogenada mg/h/gph</a:t>
                </a:r>
              </a:p>
            </c:rich>
          </c:tx>
          <c:layout>
            <c:manualLayout>
              <c:xMode val="edge"/>
              <c:yMode val="edge"/>
              <c:x val="0.86215749862326374"/>
              <c:y val="0.322033898305084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201088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30075261579881302"/>
          <c:y val="3.3898305084745776E-2"/>
          <c:w val="0.39849721593342724"/>
          <c:h val="9.3220338983050891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439114391143915"/>
          <c:y val="0.10460251046025107"/>
          <c:w val="0.67158671586715857"/>
          <c:h val="0.63179916317991658"/>
        </c:manualLayout>
      </c:layout>
      <c:lineChart>
        <c:grouping val="standard"/>
        <c:ser>
          <c:idx val="0"/>
          <c:order val="0"/>
          <c:tx>
            <c:strRef>
              <c:f>'Resumen Regresiones'!$B$5:$B$6</c:f>
              <c:strCache>
                <c:ptCount val="1"/>
                <c:pt idx="0">
                  <c:v>Dieta 6/44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'Resumen Regresiones'!$A$7:$A$11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Regresiones'!$B$7:$B$11</c:f>
              <c:numCache>
                <c:formatCode>General</c:formatCode>
                <c:ptCount val="5"/>
                <c:pt idx="0">
                  <c:v>2.66</c:v>
                </c:pt>
                <c:pt idx="1">
                  <c:v>2.69</c:v>
                </c:pt>
                <c:pt idx="2">
                  <c:v>3.45</c:v>
                </c:pt>
                <c:pt idx="3">
                  <c:v>3.22</c:v>
                </c:pt>
                <c:pt idx="4">
                  <c:v>2.35</c:v>
                </c:pt>
              </c:numCache>
            </c:numRef>
          </c:val>
        </c:ser>
        <c:ser>
          <c:idx val="1"/>
          <c:order val="1"/>
          <c:tx>
            <c:strRef>
              <c:f>'Resumen Regresiones'!$C$5:$C$6</c:f>
              <c:strCache>
                <c:ptCount val="1"/>
                <c:pt idx="0">
                  <c:v>Dieta 15/38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'Resumen Regresiones'!$A$7:$A$11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Regresiones'!$C$7:$C$11</c:f>
              <c:numCache>
                <c:formatCode>General</c:formatCode>
                <c:ptCount val="5"/>
                <c:pt idx="0">
                  <c:v>2.8</c:v>
                </c:pt>
                <c:pt idx="1">
                  <c:v>2.66</c:v>
                </c:pt>
                <c:pt idx="2">
                  <c:v>3.25</c:v>
                </c:pt>
                <c:pt idx="3">
                  <c:v>2.5499999999999998</c:v>
                </c:pt>
                <c:pt idx="4">
                  <c:v>2.0499999999999998</c:v>
                </c:pt>
              </c:numCache>
            </c:numRef>
          </c:val>
        </c:ser>
        <c:ser>
          <c:idx val="2"/>
          <c:order val="2"/>
          <c:tx>
            <c:strRef>
              <c:f>'Resumen Regresiones'!$D$5:$D$6</c:f>
              <c:strCache>
                <c:ptCount val="1"/>
                <c:pt idx="0">
                  <c:v>Dieta 23/33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800080"/>
              </a:solidFill>
              <a:ln>
                <a:solidFill>
                  <a:srgbClr val="800080"/>
                </a:solidFill>
                <a:prstDash val="solid"/>
              </a:ln>
            </c:spPr>
          </c:marker>
          <c:cat>
            <c:numRef>
              <c:f>'Resumen Regresiones'!$A$7:$A$11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Regresiones'!$D$7:$D$11</c:f>
              <c:numCache>
                <c:formatCode>General</c:formatCode>
                <c:ptCount val="5"/>
                <c:pt idx="0">
                  <c:v>4.05</c:v>
                </c:pt>
                <c:pt idx="1">
                  <c:v>4.22</c:v>
                </c:pt>
                <c:pt idx="2">
                  <c:v>4.3899999999999997</c:v>
                </c:pt>
                <c:pt idx="3">
                  <c:v>4.8</c:v>
                </c:pt>
                <c:pt idx="4">
                  <c:v>3.89</c:v>
                </c:pt>
              </c:numCache>
            </c:numRef>
          </c:val>
        </c:ser>
        <c:ser>
          <c:idx val="3"/>
          <c:order val="3"/>
          <c:tx>
            <c:strRef>
              <c:f>'Resumen Regresiones'!$E$5:$E$6</c:f>
              <c:strCache>
                <c:ptCount val="1"/>
                <c:pt idx="0">
                  <c:v>Dieta 32/27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'Resumen Regresiones'!$A$7:$A$11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Regresiones'!$E$7:$E$11</c:f>
              <c:numCache>
                <c:formatCode>General</c:formatCode>
                <c:ptCount val="5"/>
                <c:pt idx="0">
                  <c:v>2.66</c:v>
                </c:pt>
                <c:pt idx="1">
                  <c:v>2.41</c:v>
                </c:pt>
                <c:pt idx="2">
                  <c:v>3.03</c:v>
                </c:pt>
                <c:pt idx="3">
                  <c:v>2.88</c:v>
                </c:pt>
                <c:pt idx="4">
                  <c:v>2.5299999999999998</c:v>
                </c:pt>
              </c:numCache>
            </c:numRef>
          </c:val>
        </c:ser>
        <c:marker val="1"/>
        <c:axId val="172270336"/>
        <c:axId val="172272640"/>
      </c:lineChart>
      <c:catAx>
        <c:axId val="1722703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269372693726938"/>
              <c:y val="0.849372384937238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272640"/>
        <c:crosses val="autoZero"/>
        <c:lblAlgn val="ctr"/>
        <c:lblOffset val="100"/>
        <c:tickLblSkip val="1"/>
        <c:tickMarkSkip val="1"/>
      </c:catAx>
      <c:valAx>
        <c:axId val="172272640"/>
        <c:scaling>
          <c:orientation val="minMax"/>
          <c:min val="2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oxigeno, mg/h/g ph</a:t>
                </a:r>
              </a:p>
            </c:rich>
          </c:tx>
          <c:layout>
            <c:manualLayout>
              <c:xMode val="edge"/>
              <c:yMode val="edge"/>
              <c:x val="2.9520295202952029E-2"/>
              <c:y val="3.7656903765690385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27033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1549815498154976"/>
          <c:y val="0.25941422594142266"/>
          <c:w val="0.16974169741697423"/>
          <c:h val="0.322175732217573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Consumo de oxigeno ayuno</a:t>
            </a:r>
          </a:p>
        </c:rich>
      </c:tx>
      <c:layout>
        <c:manualLayout>
          <c:xMode val="edge"/>
          <c:yMode val="edge"/>
          <c:x val="0.31120331950207475"/>
          <c:y val="3.984063745019920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975103734439838"/>
          <c:y val="0.23107569721115537"/>
          <c:w val="0.75103734439834025"/>
          <c:h val="0.51792828685258963"/>
        </c:manualLayout>
      </c:layout>
      <c:barChart>
        <c:barDir val="col"/>
        <c:grouping val="clustered"/>
        <c:ser>
          <c:idx val="0"/>
          <c:order val="0"/>
          <c:tx>
            <c:strRef>
              <c:f>'Resumen Regresiones'!$A$7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'Resumen Regresiones'!$B$6:$E$6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Regresiones'!$B$7:$E$7</c:f>
              <c:numCache>
                <c:formatCode>General</c:formatCode>
                <c:ptCount val="4"/>
                <c:pt idx="0">
                  <c:v>2.66</c:v>
                </c:pt>
                <c:pt idx="1">
                  <c:v>2.8</c:v>
                </c:pt>
                <c:pt idx="2">
                  <c:v>4.05</c:v>
                </c:pt>
                <c:pt idx="3">
                  <c:v>2.66</c:v>
                </c:pt>
              </c:numCache>
            </c:numRef>
          </c:val>
        </c:ser>
        <c:axId val="172337792"/>
        <c:axId val="172503808"/>
      </c:barChart>
      <c:catAx>
        <c:axId val="1723377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9170124481327793"/>
              <c:y val="0.8565737051792828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503808"/>
        <c:crosses val="autoZero"/>
        <c:lblAlgn val="ctr"/>
        <c:lblOffset val="100"/>
        <c:tickLblSkip val="1"/>
        <c:tickMarkSkip val="1"/>
      </c:catAx>
      <c:valAx>
        <c:axId val="17250380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oxigeno, mg/h/g ph</a:t>
                </a:r>
              </a:p>
            </c:rich>
          </c:tx>
          <c:layout>
            <c:manualLayout>
              <c:xMode val="edge"/>
              <c:yMode val="edge"/>
              <c:x val="3.3195020746887967E-2"/>
              <c:y val="0.2470119521912351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337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716814159292043"/>
          <c:y val="0.21789883268482493"/>
          <c:w val="0.65486725663716838"/>
          <c:h val="0.53696498054474706"/>
        </c:manualLayout>
      </c:layout>
      <c:barChart>
        <c:barDir val="col"/>
        <c:grouping val="clustered"/>
        <c:ser>
          <c:idx val="5"/>
          <c:order val="0"/>
          <c:tx>
            <c:strRef>
              <c:f>'Resumen Regresiones'!$I$47</c:f>
              <c:strCache>
                <c:ptCount val="1"/>
                <c:pt idx="0">
                  <c:v>L. setiferus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'Resumen Regresiones'!$B$48:$B$51</c:f>
              <c:strCache>
                <c:ptCount val="4"/>
                <c:pt idx="0">
                  <c:v>16</c:v>
                </c:pt>
                <c:pt idx="1">
                  <c:v>26</c:v>
                </c:pt>
                <c:pt idx="2">
                  <c:v>31</c:v>
                </c:pt>
                <c:pt idx="3">
                  <c:v>33</c:v>
                </c:pt>
              </c:strCache>
            </c:strRef>
          </c:cat>
          <c:val>
            <c:numRef>
              <c:f>'Resumen Regresiones'!$I$48:$I$51</c:f>
              <c:numCache>
                <c:formatCode>General</c:formatCode>
                <c:ptCount val="4"/>
                <c:pt idx="0">
                  <c:v>1.6339721254355399</c:v>
                </c:pt>
                <c:pt idx="1">
                  <c:v>0.86523809523809536</c:v>
                </c:pt>
                <c:pt idx="2">
                  <c:v>1.6295970695970698</c:v>
                </c:pt>
                <c:pt idx="3">
                  <c:v>0.77414634146341443</c:v>
                </c:pt>
              </c:numCache>
            </c:numRef>
          </c:val>
        </c:ser>
        <c:ser>
          <c:idx val="7"/>
          <c:order val="1"/>
          <c:tx>
            <c:strRef>
              <c:f>'Resumen Regresiones'!$J$47</c:f>
              <c:strCache>
                <c:ptCount val="1"/>
                <c:pt idx="0">
                  <c:v>L. vannamei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'Resumen Regresiones'!$B$48:$B$51</c:f>
              <c:strCache>
                <c:ptCount val="4"/>
                <c:pt idx="0">
                  <c:v>16</c:v>
                </c:pt>
                <c:pt idx="1">
                  <c:v>26</c:v>
                </c:pt>
                <c:pt idx="2">
                  <c:v>31</c:v>
                </c:pt>
                <c:pt idx="3">
                  <c:v>33</c:v>
                </c:pt>
              </c:strCache>
            </c:strRef>
          </c:cat>
          <c:val>
            <c:numRef>
              <c:f>'Resumen Regresiones'!$J$48:$J$51</c:f>
              <c:numCache>
                <c:formatCode>General</c:formatCode>
                <c:ptCount val="4"/>
                <c:pt idx="0">
                  <c:v>1.225714285714286</c:v>
                </c:pt>
                <c:pt idx="1">
                  <c:v>0.74135944700460832</c:v>
                </c:pt>
                <c:pt idx="2">
                  <c:v>0.71499999999999997</c:v>
                </c:pt>
                <c:pt idx="3">
                  <c:v>0.42934624697336571</c:v>
                </c:pt>
              </c:numCache>
            </c:numRef>
          </c:val>
        </c:ser>
        <c:axId val="172537728"/>
        <c:axId val="172544000"/>
      </c:barChart>
      <c:catAx>
        <c:axId val="1725377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P/E ratio, mg/kj</a:t>
                </a:r>
              </a:p>
            </c:rich>
          </c:tx>
          <c:layout>
            <c:manualLayout>
              <c:xMode val="edge"/>
              <c:yMode val="edge"/>
              <c:x val="0.37168141592920367"/>
              <c:y val="0.85992217898832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544000"/>
        <c:crosses val="autoZero"/>
        <c:lblAlgn val="ctr"/>
        <c:lblOffset val="100"/>
        <c:tickLblSkip val="1"/>
        <c:tickMarkSkip val="1"/>
      </c:catAx>
      <c:valAx>
        <c:axId val="17254400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AHI , % of Ingested food</a:t>
                </a:r>
              </a:p>
            </c:rich>
          </c:tx>
          <c:layout>
            <c:manualLayout>
              <c:xMode val="edge"/>
              <c:yMode val="edge"/>
              <c:x val="3.5398230088495582E-2"/>
              <c:y val="0.2256809338521401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5377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141592920353985"/>
          <c:y val="0.41245136186770437"/>
          <c:w val="0.16814159292035397"/>
          <c:h val="0.1517509727626459"/>
        </c:manualLayout>
      </c:layout>
      <c:spPr>
        <a:solidFill>
          <a:srgbClr val="CCFFCC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0000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5815122735902185"/>
          <c:y val="0.22672109596623541"/>
          <c:w val="0.76642517873987503"/>
          <c:h val="0.5182196479228236"/>
        </c:manualLayout>
      </c:layout>
      <c:lineChart>
        <c:grouping val="standard"/>
        <c:ser>
          <c:idx val="0"/>
          <c:order val="0"/>
          <c:tx>
            <c:strRef>
              <c:f>'Resumen Regresiones'!$J$14</c:f>
              <c:strCache>
                <c:ptCount val="1"/>
                <c:pt idx="0">
                  <c:v>% de Incremento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'Resumen Regresiones'!$K$13:$N$13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Regresiones'!$K$14:$N$14</c:f>
              <c:numCache>
                <c:formatCode>General</c:formatCode>
                <c:ptCount val="4"/>
                <c:pt idx="0">
                  <c:v>129.69999999999999</c:v>
                </c:pt>
                <c:pt idx="1">
                  <c:v>116.1</c:v>
                </c:pt>
                <c:pt idx="2">
                  <c:v>118.5</c:v>
                </c:pt>
                <c:pt idx="3">
                  <c:v>113.9</c:v>
                </c:pt>
              </c:numCache>
            </c:numRef>
          </c:val>
        </c:ser>
        <c:marker val="1"/>
        <c:axId val="172567552"/>
        <c:axId val="172598784"/>
      </c:lineChart>
      <c:catAx>
        <c:axId val="1725675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Carbohidrates/protein</a:t>
                </a:r>
              </a:p>
            </c:rich>
          </c:tx>
          <c:layout>
            <c:manualLayout>
              <c:xMode val="edge"/>
              <c:yMode val="edge"/>
              <c:x val="0.38686223307822271"/>
              <c:y val="0.85425270087277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598784"/>
        <c:crosses val="autoZero"/>
        <c:lblAlgn val="ctr"/>
        <c:lblOffset val="100"/>
        <c:tickLblSkip val="1"/>
        <c:tickMarkSkip val="1"/>
      </c:catAx>
      <c:valAx>
        <c:axId val="1725987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3.8929532888374606E-2"/>
              <c:y val="0.461539373931264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56755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P. setiferus</a:t>
            </a:r>
          </a:p>
        </c:rich>
      </c:tx>
      <c:layout>
        <c:manualLayout>
          <c:xMode val="edge"/>
          <c:yMode val="edge"/>
          <c:x val="0.41147132169576067"/>
          <c:y val="4.166683620945723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194513715710729"/>
          <c:y val="0.24166765001485191"/>
          <c:w val="0.52867830423940165"/>
          <c:h val="0.4958353508925411"/>
        </c:manualLayout>
      </c:layout>
      <c:barChart>
        <c:barDir val="col"/>
        <c:grouping val="clustered"/>
        <c:ser>
          <c:idx val="0"/>
          <c:order val="0"/>
          <c:tx>
            <c:strRef>
              <c:f>'Resumen Regresiones'!$B$71</c:f>
              <c:strCache>
                <c:ptCount val="1"/>
                <c:pt idx="0">
                  <c:v>Pre-prandial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'Resumen Regresiones'!$A$72:$A$75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Regresiones'!$B$72:$B$75</c:f>
              <c:numCache>
                <c:formatCode>General</c:formatCode>
                <c:ptCount val="4"/>
                <c:pt idx="0">
                  <c:v>2.5000000000000001E-2</c:v>
                </c:pt>
                <c:pt idx="1">
                  <c:v>1.2E-2</c:v>
                </c:pt>
                <c:pt idx="2">
                  <c:v>2E-3</c:v>
                </c:pt>
                <c:pt idx="3">
                  <c:v>6.0000000000000001E-3</c:v>
                </c:pt>
              </c:numCache>
            </c:numRef>
          </c:val>
        </c:ser>
        <c:ser>
          <c:idx val="1"/>
          <c:order val="1"/>
          <c:tx>
            <c:strRef>
              <c:f>'Resumen Regresiones'!$C$71</c:f>
              <c:strCache>
                <c:ptCount val="1"/>
                <c:pt idx="0">
                  <c:v>Post-prandial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'Resumen Regresiones'!$A$72:$A$75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Regresiones'!$C$72:$C$75</c:f>
              <c:numCache>
                <c:formatCode>General</c:formatCode>
                <c:ptCount val="4"/>
                <c:pt idx="0">
                  <c:v>2.3E-2</c:v>
                </c:pt>
                <c:pt idx="1">
                  <c:v>3.5000000000000003E-2</c:v>
                </c:pt>
                <c:pt idx="2">
                  <c:v>3.7999999999999999E-2</c:v>
                </c:pt>
                <c:pt idx="3">
                  <c:v>1.0999999999999999E-2</c:v>
                </c:pt>
              </c:numCache>
            </c:numRef>
          </c:val>
        </c:ser>
        <c:axId val="172619264"/>
        <c:axId val="172621184"/>
      </c:barChart>
      <c:catAx>
        <c:axId val="1726192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Carbohydrates/protein,%</a:t>
                </a:r>
              </a:p>
            </c:rich>
          </c:tx>
          <c:layout>
            <c:manualLayout>
              <c:xMode val="edge"/>
              <c:yMode val="edge"/>
              <c:x val="0.31172069825436421"/>
              <c:y val="0.85000345867292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621184"/>
        <c:crosses val="autoZero"/>
        <c:lblAlgn val="ctr"/>
        <c:lblOffset val="100"/>
        <c:tickLblSkip val="1"/>
        <c:tickMarkSkip val="1"/>
      </c:catAx>
      <c:valAx>
        <c:axId val="1726211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Nitrogen Excretion, mg/h/gph</a:t>
                </a:r>
              </a:p>
            </c:rich>
          </c:tx>
          <c:layout>
            <c:manualLayout>
              <c:xMode val="edge"/>
              <c:yMode val="edge"/>
              <c:x val="3.9900249376558602E-2"/>
              <c:y val="0.2625010681195805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6192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805486284289282"/>
          <c:y val="0.40000162761078945"/>
          <c:w val="0.20199501246882795"/>
          <c:h val="0.1625006612168831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Post Prandial Nitrogen Excetion</a:t>
            </a:r>
          </a:p>
        </c:rich>
      </c:tx>
      <c:layout>
        <c:manualLayout>
          <c:xMode val="edge"/>
          <c:yMode val="edge"/>
          <c:x val="0.30904522613065333"/>
          <c:y val="3.913043478260869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57788944723619"/>
          <c:y val="0.23043478260869568"/>
          <c:w val="0.61055276381909551"/>
          <c:h val="0.49565217391304361"/>
        </c:manualLayout>
      </c:layout>
      <c:barChart>
        <c:barDir val="col"/>
        <c:grouping val="clustered"/>
        <c:ser>
          <c:idx val="0"/>
          <c:order val="0"/>
          <c:tx>
            <c:strRef>
              <c:f>'Resumen Regresiones'!$B$92</c:f>
              <c:strCache>
                <c:ptCount val="1"/>
                <c:pt idx="0">
                  <c:v>jouls/h/g/pH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'Resumen Regresiones'!$A$93:$A$96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Regresiones'!$B$93:$B$96</c:f>
              <c:numCache>
                <c:formatCode>General</c:formatCode>
                <c:ptCount val="4"/>
                <c:pt idx="0">
                  <c:v>0.47149999999999997</c:v>
                </c:pt>
                <c:pt idx="1">
                  <c:v>0.71750000000000003</c:v>
                </c:pt>
                <c:pt idx="2">
                  <c:v>0.77900000000000003</c:v>
                </c:pt>
                <c:pt idx="3">
                  <c:v>0.22549999999999998</c:v>
                </c:pt>
              </c:numCache>
            </c:numRef>
          </c:val>
        </c:ser>
        <c:axId val="172658048"/>
        <c:axId val="172668416"/>
      </c:barChart>
      <c:catAx>
        <c:axId val="1726580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carbohidrates/protein, %</a:t>
                </a:r>
              </a:p>
            </c:rich>
          </c:tx>
          <c:layout>
            <c:manualLayout>
              <c:xMode val="edge"/>
              <c:yMode val="edge"/>
              <c:x val="0.28643216080402017"/>
              <c:y val="0.8434782608695652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668416"/>
        <c:crosses val="autoZero"/>
        <c:lblAlgn val="ctr"/>
        <c:lblOffset val="100"/>
        <c:tickLblSkip val="1"/>
        <c:tickMarkSkip val="1"/>
      </c:catAx>
      <c:valAx>
        <c:axId val="1726684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PPNE jouls/h/gph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2739130434782608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658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96984924623104"/>
          <c:y val="0.43478260869565227"/>
          <c:w val="0.18592964824120606"/>
          <c:h val="8.69565217391304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O:N Ratio of P. setiferus</a:t>
            </a:r>
          </a:p>
        </c:rich>
      </c:tx>
      <c:layout>
        <c:manualLayout>
          <c:xMode val="edge"/>
          <c:yMode val="edge"/>
          <c:x val="0.30845846076857125"/>
          <c:y val="3.861011139997474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66173444723271"/>
          <c:y val="0.32432493575978794"/>
          <c:w val="0.65671801324921619"/>
          <c:h val="0.43243324767971708"/>
        </c:manualLayout>
      </c:layout>
      <c:barChart>
        <c:barDir val="col"/>
        <c:grouping val="clustered"/>
        <c:ser>
          <c:idx val="1"/>
          <c:order val="0"/>
          <c:tx>
            <c:strRef>
              <c:f>'Resumen Regresiones'!$B$113</c:f>
              <c:strCache>
                <c:ptCount val="1"/>
                <c:pt idx="0">
                  <c:v>O:N Fasting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'Resumen Regresiones'!$A$114:$A$117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Regresiones'!$B$114:$B$117</c:f>
              <c:numCache>
                <c:formatCode>General</c:formatCode>
                <c:ptCount val="4"/>
                <c:pt idx="0">
                  <c:v>112.9</c:v>
                </c:pt>
                <c:pt idx="1">
                  <c:v>247.6</c:v>
                </c:pt>
                <c:pt idx="2">
                  <c:v>2148</c:v>
                </c:pt>
                <c:pt idx="3">
                  <c:v>470</c:v>
                </c:pt>
              </c:numCache>
            </c:numRef>
          </c:val>
        </c:ser>
        <c:axId val="172403712"/>
        <c:axId val="172410368"/>
      </c:barChart>
      <c:lineChart>
        <c:grouping val="standard"/>
        <c:ser>
          <c:idx val="0"/>
          <c:order val="1"/>
          <c:tx>
            <c:strRef>
              <c:f>'Resumen Regresiones'!$C$113</c:f>
              <c:strCache>
                <c:ptCount val="1"/>
                <c:pt idx="0">
                  <c:v>O:N Feeding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'Resumen Regresiones'!$A$114:$A$117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'Resumen Regresiones'!$C$114:$C$117</c:f>
              <c:numCache>
                <c:formatCode>General</c:formatCode>
                <c:ptCount val="4"/>
                <c:pt idx="0">
                  <c:v>59.5</c:v>
                </c:pt>
                <c:pt idx="1">
                  <c:v>73.37</c:v>
                </c:pt>
                <c:pt idx="2">
                  <c:v>111.9</c:v>
                </c:pt>
                <c:pt idx="3">
                  <c:v>189.1</c:v>
                </c:pt>
              </c:numCache>
            </c:numRef>
          </c:val>
        </c:ser>
        <c:marker val="1"/>
        <c:axId val="172412288"/>
        <c:axId val="172418176"/>
      </c:lineChart>
      <c:catAx>
        <c:axId val="1724037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Carbohydrates/protein, %</a:t>
                </a:r>
              </a:p>
            </c:rich>
          </c:tx>
          <c:layout>
            <c:manualLayout>
              <c:xMode val="edge"/>
              <c:yMode val="edge"/>
              <c:x val="0.32587143839260346"/>
              <c:y val="0.8610054842194367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410368"/>
        <c:crosses val="autoZero"/>
        <c:lblAlgn val="ctr"/>
        <c:lblOffset val="100"/>
        <c:tickLblSkip val="1"/>
        <c:tickMarkSkip val="1"/>
      </c:catAx>
      <c:valAx>
        <c:axId val="17241036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O:N, Fasting</a:t>
                </a:r>
              </a:p>
            </c:rich>
          </c:tx>
          <c:layout>
            <c:manualLayout>
              <c:xMode val="edge"/>
              <c:yMode val="edge"/>
              <c:x val="3.9801091712073702E-2"/>
              <c:y val="0.4092671808397322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403712"/>
        <c:crosses val="autoZero"/>
        <c:crossBetween val="between"/>
      </c:valAx>
      <c:catAx>
        <c:axId val="172412288"/>
        <c:scaling>
          <c:orientation val="minMax"/>
        </c:scaling>
        <c:delete val="1"/>
        <c:axPos val="b"/>
        <c:tickLblPos val="none"/>
        <c:crossAx val="172418176"/>
        <c:crosses val="autoZero"/>
        <c:lblAlgn val="ctr"/>
        <c:lblOffset val="100"/>
      </c:catAx>
      <c:valAx>
        <c:axId val="172418176"/>
        <c:scaling>
          <c:orientation val="minMax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O:N Feeding</a:t>
                </a:r>
              </a:p>
            </c:rich>
          </c:tx>
          <c:layout>
            <c:manualLayout>
              <c:xMode val="edge"/>
              <c:yMode val="edge"/>
              <c:x val="0.90298726821767183"/>
              <c:y val="0.4092671808397322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412288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2636822325924883"/>
          <c:y val="0.16216246787989391"/>
          <c:w val="0.47263796408087516"/>
          <c:h val="8.494224507994442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258904637562261"/>
          <c:y val="0.18939463998372391"/>
          <c:w val="0.74873189236483362"/>
          <c:h val="0.57197181275084641"/>
        </c:manualLayout>
      </c:layout>
      <c:lineChart>
        <c:grouping val="standard"/>
        <c:ser>
          <c:idx val="0"/>
          <c:order val="0"/>
          <c:tx>
            <c:strRef>
              <c:f>'Resumen Regresiones'!$B$136:$B$137</c:f>
              <c:strCache>
                <c:ptCount val="1"/>
                <c:pt idx="0">
                  <c:v>F 6/44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'Resumen Regresiones'!$A$138:$A$142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Regresiones'!$B$138:$B$142</c:f>
              <c:numCache>
                <c:formatCode>General</c:formatCode>
                <c:ptCount val="5"/>
                <c:pt idx="0">
                  <c:v>2.5000000000000001E-2</c:v>
                </c:pt>
                <c:pt idx="1">
                  <c:v>4.8000000000000001E-2</c:v>
                </c:pt>
                <c:pt idx="2">
                  <c:v>4.8000000000000001E-2</c:v>
                </c:pt>
                <c:pt idx="3">
                  <c:v>0.05</c:v>
                </c:pt>
                <c:pt idx="4">
                  <c:v>0.03</c:v>
                </c:pt>
              </c:numCache>
            </c:numRef>
          </c:val>
        </c:ser>
        <c:ser>
          <c:idx val="1"/>
          <c:order val="1"/>
          <c:tx>
            <c:strRef>
              <c:f>'Resumen Regresiones'!$C$136:$C$137</c:f>
              <c:strCache>
                <c:ptCount val="1"/>
                <c:pt idx="0">
                  <c:v>D 15/38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'Resumen Regresiones'!$A$138:$A$142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Regresiones'!$C$138:$C$142</c:f>
              <c:numCache>
                <c:formatCode>General</c:formatCode>
                <c:ptCount val="5"/>
                <c:pt idx="0">
                  <c:v>1.2E-2</c:v>
                </c:pt>
                <c:pt idx="1">
                  <c:v>4.1000000000000002E-2</c:v>
                </c:pt>
                <c:pt idx="2">
                  <c:v>4.7E-2</c:v>
                </c:pt>
                <c:pt idx="3">
                  <c:v>3.4000000000000002E-2</c:v>
                </c:pt>
                <c:pt idx="4">
                  <c:v>1.6E-2</c:v>
                </c:pt>
              </c:numCache>
            </c:numRef>
          </c:val>
        </c:ser>
        <c:ser>
          <c:idx val="2"/>
          <c:order val="2"/>
          <c:tx>
            <c:strRef>
              <c:f>'Resumen Regresiones'!$D$136:$D$137</c:f>
              <c:strCache>
                <c:ptCount val="1"/>
                <c:pt idx="0">
                  <c:v>C 23/33</c:v>
                </c:pt>
              </c:strCache>
            </c:strRef>
          </c:tx>
          <c:spPr>
            <a:ln w="12700">
              <a:solidFill>
                <a:srgbClr val="60008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800000"/>
              </a:solidFill>
              <a:ln>
                <a:solidFill>
                  <a:srgbClr val="800080"/>
                </a:solidFill>
                <a:prstDash val="solid"/>
              </a:ln>
            </c:spPr>
          </c:marker>
          <c:cat>
            <c:numRef>
              <c:f>'Resumen Regresiones'!$A$138:$A$142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Regresiones'!$D$138:$D$142</c:f>
              <c:numCache>
                <c:formatCode>General</c:formatCode>
                <c:ptCount val="5"/>
                <c:pt idx="0">
                  <c:v>2E-3</c:v>
                </c:pt>
                <c:pt idx="1">
                  <c:v>0.04</c:v>
                </c:pt>
                <c:pt idx="2">
                  <c:v>0.02</c:v>
                </c:pt>
                <c:pt idx="3">
                  <c:v>8.9999999999999993E-3</c:v>
                </c:pt>
                <c:pt idx="4">
                  <c:v>8.0000000000000002E-3</c:v>
                </c:pt>
              </c:numCache>
            </c:numRef>
          </c:val>
        </c:ser>
        <c:ser>
          <c:idx val="3"/>
          <c:order val="3"/>
          <c:tx>
            <c:strRef>
              <c:f>'Resumen Regresiones'!$E$136:$E$137</c:f>
              <c:strCache>
                <c:ptCount val="1"/>
                <c:pt idx="0">
                  <c:v>A 32/27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'Resumen Regresiones'!$A$138:$A$142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'Resumen Regresiones'!$E$138:$E$142</c:f>
              <c:numCache>
                <c:formatCode>General</c:formatCode>
                <c:ptCount val="5"/>
                <c:pt idx="0">
                  <c:v>6.0000000000000001E-3</c:v>
                </c:pt>
                <c:pt idx="1">
                  <c:v>1.4E-2</c:v>
                </c:pt>
                <c:pt idx="2">
                  <c:v>1.7000000000000001E-2</c:v>
                </c:pt>
                <c:pt idx="3">
                  <c:v>6.0000000000000001E-3</c:v>
                </c:pt>
                <c:pt idx="4">
                  <c:v>4.0000000000000001E-3</c:v>
                </c:pt>
              </c:numCache>
            </c:numRef>
          </c:val>
        </c:ser>
        <c:marker val="1"/>
        <c:axId val="172723200"/>
        <c:axId val="172746240"/>
      </c:lineChart>
      <c:catAx>
        <c:axId val="1727232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43401069015046279"/>
              <c:y val="0.8636395583257812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746240"/>
        <c:crosses val="autoZero"/>
        <c:lblAlgn val="ctr"/>
        <c:lblOffset val="100"/>
        <c:tickLblSkip val="1"/>
        <c:tickMarkSkip val="1"/>
      </c:catAx>
      <c:valAx>
        <c:axId val="1727462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Excreción amonio mg/h/gph</a:t>
                </a:r>
              </a:p>
            </c:rich>
          </c:tx>
          <c:layout>
            <c:manualLayout>
              <c:xMode val="edge"/>
              <c:yMode val="edge"/>
              <c:x val="4.0609187382499419E-2"/>
              <c:y val="0.178030961584700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723200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12436563635890453"/>
          <c:y val="3.030314239739583E-2"/>
          <c:w val="0.72842729867358391"/>
          <c:h val="8.3333641592838528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0595558452667562"/>
          <c:y val="0.20920502092050208"/>
          <c:w val="0.77667587899818658"/>
          <c:h val="0.52719665271966532"/>
        </c:manualLayout>
      </c:layout>
      <c:barChart>
        <c:barDir val="col"/>
        <c:grouping val="clustered"/>
        <c:ser>
          <c:idx val="0"/>
          <c:order val="0"/>
          <c:tx>
            <c:strRef>
              <c:f>'Resumen Regresiones'!$J$79</c:f>
              <c:strCache>
                <c:ptCount val="1"/>
                <c:pt idx="0">
                  <c:v>L. setiferus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4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'Resumen Regresiones'!$I$80:$I$83</c:f>
              <c:strCache>
                <c:ptCount val="4"/>
                <c:pt idx="0">
                  <c:v>16</c:v>
                </c:pt>
                <c:pt idx="1">
                  <c:v>26</c:v>
                </c:pt>
                <c:pt idx="2">
                  <c:v>31</c:v>
                </c:pt>
                <c:pt idx="3">
                  <c:v>36</c:v>
                </c:pt>
              </c:strCache>
            </c:strRef>
          </c:cat>
          <c:val>
            <c:numRef>
              <c:f>'Resumen Regresiones'!$J$80:$J$83</c:f>
              <c:numCache>
                <c:formatCode>General</c:formatCode>
                <c:ptCount val="4"/>
                <c:pt idx="0">
                  <c:v>0.12153571428571426</c:v>
                </c:pt>
                <c:pt idx="1">
                  <c:v>0.11567857142857144</c:v>
                </c:pt>
                <c:pt idx="2">
                  <c:v>0.12153571428571427</c:v>
                </c:pt>
                <c:pt idx="3">
                  <c:v>0.12299999999999997</c:v>
                </c:pt>
              </c:numCache>
            </c:numRef>
          </c:val>
        </c:ser>
        <c:ser>
          <c:idx val="1"/>
          <c:order val="1"/>
          <c:tx>
            <c:strRef>
              <c:f>'Resumen Regresiones'!$K$79</c:f>
              <c:strCache>
                <c:ptCount val="1"/>
                <c:pt idx="0">
                  <c:v>L. vannamei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'Resumen Regresiones'!$I$80:$I$83</c:f>
              <c:strCache>
                <c:ptCount val="4"/>
                <c:pt idx="0">
                  <c:v>16</c:v>
                </c:pt>
                <c:pt idx="1">
                  <c:v>26</c:v>
                </c:pt>
                <c:pt idx="2">
                  <c:v>31</c:v>
                </c:pt>
                <c:pt idx="3">
                  <c:v>36</c:v>
                </c:pt>
              </c:strCache>
            </c:strRef>
          </c:cat>
          <c:val>
            <c:numRef>
              <c:f>'Resumen Regresiones'!$K$80:$K$83</c:f>
              <c:numCache>
                <c:formatCode>General</c:formatCode>
                <c:ptCount val="4"/>
                <c:pt idx="0">
                  <c:v>7.9071428571428584E-2</c:v>
                </c:pt>
                <c:pt idx="1">
                  <c:v>6.7900345622119815E-2</c:v>
                </c:pt>
                <c:pt idx="2">
                  <c:v>8.7857142857142856E-2</c:v>
                </c:pt>
                <c:pt idx="3">
                  <c:v>5.5394673123486685E-2</c:v>
                </c:pt>
              </c:numCache>
            </c:numRef>
          </c:val>
        </c:ser>
        <c:axId val="172763776"/>
        <c:axId val="172778240"/>
      </c:barChart>
      <c:catAx>
        <c:axId val="1727637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P/E ratio, mg/kj</a:t>
                </a:r>
              </a:p>
            </c:rich>
          </c:tx>
          <c:layout>
            <c:manualLayout>
              <c:xMode val="edge"/>
              <c:yMode val="edge"/>
              <c:x val="0.48883433917777225"/>
              <c:y val="0.849372384937238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778240"/>
        <c:crosses val="autoZero"/>
        <c:lblAlgn val="ctr"/>
        <c:lblOffset val="100"/>
        <c:tickLblSkip val="1"/>
        <c:tickMarkSkip val="1"/>
      </c:catAx>
      <c:valAx>
        <c:axId val="1727782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PPNE, % of ingested food</a:t>
                </a:r>
              </a:p>
            </c:rich>
          </c:tx>
          <c:layout>
            <c:manualLayout>
              <c:xMode val="edge"/>
              <c:yMode val="edge"/>
              <c:x val="7.6923170124421E-2"/>
              <c:y val="0.1799163179916318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763776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8039736206643784"/>
          <c:y val="3.3472803347280332E-2"/>
          <c:w val="0.3672461025294938"/>
          <c:h val="9.2050209205020925E-2"/>
        </c:manualLayout>
      </c:layout>
      <c:spPr>
        <a:solidFill>
          <a:srgbClr val="FFFF00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993366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258904637562261"/>
          <c:y val="0.21459227467811159"/>
          <c:w val="0.76649841184467693"/>
          <c:h val="0.51502145922746778"/>
        </c:manualLayout>
      </c:layout>
      <c:barChart>
        <c:barDir val="col"/>
        <c:grouping val="clustered"/>
        <c:ser>
          <c:idx val="0"/>
          <c:order val="0"/>
          <c:tx>
            <c:strRef>
              <c:f>'Resumen Regresiones'!$O$7:$P$7</c:f>
              <c:strCache>
                <c:ptCount val="1"/>
                <c:pt idx="0">
                  <c:v>L. setiferus  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val>
            <c:numRef>
              <c:f>'Resumen Regresiones'!$Q$7:$T$7</c:f>
              <c:numCache>
                <c:formatCode>General</c:formatCode>
                <c:ptCount val="4"/>
                <c:pt idx="0">
                  <c:v>2.66</c:v>
                </c:pt>
                <c:pt idx="1">
                  <c:v>2.8</c:v>
                </c:pt>
                <c:pt idx="2">
                  <c:v>4.05</c:v>
                </c:pt>
                <c:pt idx="3">
                  <c:v>2.66</c:v>
                </c:pt>
              </c:numCache>
            </c:numRef>
          </c:val>
        </c:ser>
        <c:ser>
          <c:idx val="1"/>
          <c:order val="1"/>
          <c:tx>
            <c:strRef>
              <c:f>'Resumen Regresiones'!$O$8:$P$8</c:f>
              <c:strCache>
                <c:ptCount val="1"/>
                <c:pt idx="0">
                  <c:v>L. vannamei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val>
            <c:numRef>
              <c:f>'Resumen Regresiones'!$Q$8:$T$8</c:f>
              <c:numCache>
                <c:formatCode>General</c:formatCode>
                <c:ptCount val="4"/>
                <c:pt idx="0">
                  <c:v>1.1299999999999999</c:v>
                </c:pt>
                <c:pt idx="1">
                  <c:v>1.07</c:v>
                </c:pt>
                <c:pt idx="2">
                  <c:v>1.87</c:v>
                </c:pt>
                <c:pt idx="3">
                  <c:v>0.81</c:v>
                </c:pt>
              </c:numCache>
            </c:numRef>
          </c:val>
        </c:ser>
        <c:axId val="172894080"/>
        <c:axId val="172904448"/>
      </c:barChart>
      <c:catAx>
        <c:axId val="1728940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dieta</a:t>
                </a:r>
              </a:p>
            </c:rich>
          </c:tx>
          <c:layout>
            <c:manualLayout>
              <c:xMode val="edge"/>
              <c:yMode val="edge"/>
              <c:x val="0.46192950647593106"/>
              <c:y val="0.845493562231759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904448"/>
        <c:crosses val="autoZero"/>
        <c:lblAlgn val="ctr"/>
        <c:lblOffset val="100"/>
        <c:tickLblSkip val="1"/>
        <c:tickMarkSkip val="1"/>
      </c:catAx>
      <c:valAx>
        <c:axId val="1729044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Consumo de oxígeno, mgO2/h/gph</a:t>
                </a:r>
              </a:p>
            </c:rich>
          </c:tx>
          <c:layout>
            <c:manualLayout>
              <c:xMode val="edge"/>
              <c:yMode val="edge"/>
              <c:x val="4.0609187382499419E-2"/>
              <c:y val="0.206008583690987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894080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6649779219765257"/>
          <c:y val="3.4334763948497847E-2"/>
          <c:w val="0.39086342855655709"/>
          <c:h val="9.4420600858369119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>
        <c:manualLayout>
          <c:xMode val="edge"/>
          <c:yMode val="edge"/>
          <c:x val="0.45728643216080406"/>
          <c:y val="4.1666855047630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0.14824120603015079"/>
          <c:y val="0.25000113028578141"/>
          <c:w val="0.68090452261306544"/>
          <c:h val="0.45833540552393265"/>
        </c:manualLayout>
      </c:layout>
      <c:barChart>
        <c:barDir val="col"/>
        <c:grouping val="clustered"/>
        <c:ser>
          <c:idx val="0"/>
          <c:order val="0"/>
          <c:tx>
            <c:strRef>
              <c:f>Crecimiento!$I$12</c:f>
              <c:strCache>
                <c:ptCount val="1"/>
                <c:pt idx="0">
                  <c:v>mg/día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3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Crecimiento!$H$13:$H$16</c:f>
              <c:strCache>
                <c:ptCount val="4"/>
                <c:pt idx="0">
                  <c:v>6/44</c:v>
                </c:pt>
                <c:pt idx="1">
                  <c:v>15/38</c:v>
                </c:pt>
                <c:pt idx="2">
                  <c:v>23/33</c:v>
                </c:pt>
                <c:pt idx="3">
                  <c:v>32/27</c:v>
                </c:pt>
              </c:strCache>
            </c:strRef>
          </c:cat>
          <c:val>
            <c:numRef>
              <c:f>Crecimiento!$I$13:$I$16</c:f>
              <c:numCache>
                <c:formatCode>General</c:formatCode>
                <c:ptCount val="4"/>
                <c:pt idx="0">
                  <c:v>24.14</c:v>
                </c:pt>
                <c:pt idx="1">
                  <c:v>20</c:v>
                </c:pt>
                <c:pt idx="2">
                  <c:v>16.45</c:v>
                </c:pt>
                <c:pt idx="3">
                  <c:v>18.13</c:v>
                </c:pt>
              </c:numCache>
            </c:numRef>
          </c:val>
        </c:ser>
        <c:axId val="173011328"/>
        <c:axId val="173013248"/>
      </c:barChart>
      <c:catAx>
        <c:axId val="1730113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CBH/prot,%</a:t>
                </a:r>
              </a:p>
            </c:rich>
          </c:tx>
          <c:layout>
            <c:manualLayout>
              <c:xMode val="edge"/>
              <c:yMode val="edge"/>
              <c:x val="0.40703517587939697"/>
              <c:y val="0.83333710095260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3013248"/>
        <c:crosses val="autoZero"/>
        <c:lblAlgn val="ctr"/>
        <c:lblOffset val="100"/>
        <c:tickLblSkip val="1"/>
        <c:tickMarkSkip val="1"/>
      </c:catAx>
      <c:valAx>
        <c:axId val="173013248"/>
        <c:scaling>
          <c:orientation val="minMax"/>
          <c:min val="1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mg/día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384260996550367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30113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678391959798994"/>
          <c:y val="0.43518715271969372"/>
          <c:w val="0.12311557788944724"/>
          <c:h val="9.2593011216956081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600075</xdr:colOff>
      <xdr:row>15</xdr:row>
      <xdr:rowOff>123825</xdr:rowOff>
    </xdr:from>
    <xdr:to>
      <xdr:col>22</xdr:col>
      <xdr:colOff>19050</xdr:colOff>
      <xdr:row>28</xdr:row>
      <xdr:rowOff>114300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542925</xdr:colOff>
      <xdr:row>14</xdr:row>
      <xdr:rowOff>38100</xdr:rowOff>
    </xdr:from>
    <xdr:to>
      <xdr:col>21</xdr:col>
      <xdr:colOff>733425</xdr:colOff>
      <xdr:row>28</xdr:row>
      <xdr:rowOff>0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</xdr:colOff>
      <xdr:row>14</xdr:row>
      <xdr:rowOff>28575</xdr:rowOff>
    </xdr:from>
    <xdr:to>
      <xdr:col>21</xdr:col>
      <xdr:colOff>695325</xdr:colOff>
      <xdr:row>28</xdr:row>
      <xdr:rowOff>19050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9525</xdr:colOff>
      <xdr:row>15</xdr:row>
      <xdr:rowOff>28575</xdr:rowOff>
    </xdr:from>
    <xdr:to>
      <xdr:col>22</xdr:col>
      <xdr:colOff>0</xdr:colOff>
      <xdr:row>29</xdr:row>
      <xdr:rowOff>9525</xdr:rowOff>
    </xdr:to>
    <xdr:graphicFrame macro="">
      <xdr:nvGraphicFramePr>
        <xdr:cNvPr id="40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11</xdr:row>
      <xdr:rowOff>76200</xdr:rowOff>
    </xdr:from>
    <xdr:to>
      <xdr:col>7</xdr:col>
      <xdr:colOff>190500</xdr:colOff>
      <xdr:row>25</xdr:row>
      <xdr:rowOff>85725</xdr:rowOff>
    </xdr:to>
    <xdr:graphicFrame macro="">
      <xdr:nvGraphicFramePr>
        <xdr:cNvPr id="5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27</xdr:row>
      <xdr:rowOff>38100</xdr:rowOff>
    </xdr:from>
    <xdr:to>
      <xdr:col>7</xdr:col>
      <xdr:colOff>19050</xdr:colOff>
      <xdr:row>42</xdr:row>
      <xdr:rowOff>0</xdr:rowOff>
    </xdr:to>
    <xdr:graphicFrame macro="">
      <xdr:nvGraphicFramePr>
        <xdr:cNvPr id="512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209550</xdr:colOff>
      <xdr:row>52</xdr:row>
      <xdr:rowOff>133350</xdr:rowOff>
    </xdr:from>
    <xdr:to>
      <xdr:col>6</xdr:col>
      <xdr:colOff>704850</xdr:colOff>
      <xdr:row>67</xdr:row>
      <xdr:rowOff>152400</xdr:rowOff>
    </xdr:to>
    <xdr:graphicFrame macro="">
      <xdr:nvGraphicFramePr>
        <xdr:cNvPr id="512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695325</xdr:colOff>
      <xdr:row>15</xdr:row>
      <xdr:rowOff>85725</xdr:rowOff>
    </xdr:from>
    <xdr:to>
      <xdr:col>14</xdr:col>
      <xdr:colOff>38100</xdr:colOff>
      <xdr:row>30</xdr:row>
      <xdr:rowOff>9525</xdr:rowOff>
    </xdr:to>
    <xdr:graphicFrame macro="">
      <xdr:nvGraphicFramePr>
        <xdr:cNvPr id="512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742950</xdr:colOff>
      <xdr:row>76</xdr:row>
      <xdr:rowOff>0</xdr:rowOff>
    </xdr:from>
    <xdr:to>
      <xdr:col>6</xdr:col>
      <xdr:colOff>752475</xdr:colOff>
      <xdr:row>90</xdr:row>
      <xdr:rowOff>19050</xdr:rowOff>
    </xdr:to>
    <xdr:graphicFrame macro="">
      <xdr:nvGraphicFramePr>
        <xdr:cNvPr id="512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9525</xdr:colOff>
      <xdr:row>97</xdr:row>
      <xdr:rowOff>66675</xdr:rowOff>
    </xdr:from>
    <xdr:to>
      <xdr:col>6</xdr:col>
      <xdr:colOff>752475</xdr:colOff>
      <xdr:row>110</xdr:row>
      <xdr:rowOff>152400</xdr:rowOff>
    </xdr:to>
    <xdr:graphicFrame macro="">
      <xdr:nvGraphicFramePr>
        <xdr:cNvPr id="512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752475</xdr:colOff>
      <xdr:row>118</xdr:row>
      <xdr:rowOff>152400</xdr:rowOff>
    </xdr:from>
    <xdr:to>
      <xdr:col>8</xdr:col>
      <xdr:colOff>9525</xdr:colOff>
      <xdr:row>134</xdr:row>
      <xdr:rowOff>28575</xdr:rowOff>
    </xdr:to>
    <xdr:graphicFrame macro="">
      <xdr:nvGraphicFramePr>
        <xdr:cNvPr id="512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28575</xdr:colOff>
      <xdr:row>144</xdr:row>
      <xdr:rowOff>0</xdr:rowOff>
    </xdr:from>
    <xdr:to>
      <xdr:col>6</xdr:col>
      <xdr:colOff>733425</xdr:colOff>
      <xdr:row>159</xdr:row>
      <xdr:rowOff>85725</xdr:rowOff>
    </xdr:to>
    <xdr:graphicFrame macro="">
      <xdr:nvGraphicFramePr>
        <xdr:cNvPr id="5128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409575</xdr:colOff>
      <xdr:row>85</xdr:row>
      <xdr:rowOff>133350</xdr:rowOff>
    </xdr:from>
    <xdr:to>
      <xdr:col>15</xdr:col>
      <xdr:colOff>438150</xdr:colOff>
      <xdr:row>99</xdr:row>
      <xdr:rowOff>142875</xdr:rowOff>
    </xdr:to>
    <xdr:graphicFrame macro="">
      <xdr:nvGraphicFramePr>
        <xdr:cNvPr id="5129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38100</xdr:colOff>
      <xdr:row>9</xdr:row>
      <xdr:rowOff>47625</xdr:rowOff>
    </xdr:from>
    <xdr:to>
      <xdr:col>19</xdr:col>
      <xdr:colOff>742950</xdr:colOff>
      <xdr:row>23</xdr:row>
      <xdr:rowOff>0</xdr:rowOff>
    </xdr:to>
    <xdr:graphicFrame macro="">
      <xdr:nvGraphicFramePr>
        <xdr:cNvPr id="513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18</xdr:row>
      <xdr:rowOff>28575</xdr:rowOff>
    </xdr:from>
    <xdr:to>
      <xdr:col>12</xdr:col>
      <xdr:colOff>0</xdr:colOff>
      <xdr:row>30</xdr:row>
      <xdr:rowOff>142875</xdr:rowOff>
    </xdr:to>
    <xdr:graphicFrame macro="">
      <xdr:nvGraphicFramePr>
        <xdr:cNvPr id="614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81"/>
  <sheetViews>
    <sheetView workbookViewId="0"/>
  </sheetViews>
  <sheetFormatPr baseColWidth="10" defaultRowHeight="12.75"/>
  <sheetData>
    <row r="1" spans="1:21">
      <c r="A1" t="s">
        <v>0</v>
      </c>
    </row>
    <row r="2" spans="1:21">
      <c r="A2" t="s">
        <v>1</v>
      </c>
    </row>
    <row r="3" spans="1:21">
      <c r="A3" t="s">
        <v>2</v>
      </c>
    </row>
    <row r="4" spans="1:21">
      <c r="A4" t="s">
        <v>3</v>
      </c>
    </row>
    <row r="5" spans="1:21">
      <c r="A5" t="s">
        <v>4</v>
      </c>
    </row>
    <row r="6" spans="1:21">
      <c r="A6" t="s">
        <v>5</v>
      </c>
      <c r="S6" t="s">
        <v>6</v>
      </c>
      <c r="T6" t="s">
        <v>7</v>
      </c>
      <c r="U6" t="s">
        <v>8</v>
      </c>
    </row>
    <row r="7" spans="1:21">
      <c r="A7" t="s">
        <v>9</v>
      </c>
      <c r="Q7" t="s">
        <v>10</v>
      </c>
      <c r="S7" t="s">
        <v>11</v>
      </c>
      <c r="T7" t="s">
        <v>12</v>
      </c>
    </row>
    <row r="8" spans="1:21">
      <c r="B8" t="s">
        <v>13</v>
      </c>
      <c r="D8" t="s">
        <v>14</v>
      </c>
      <c r="E8" t="s">
        <v>14</v>
      </c>
      <c r="F8" t="s">
        <v>15</v>
      </c>
      <c r="H8" t="s">
        <v>16</v>
      </c>
      <c r="I8" t="s">
        <v>10</v>
      </c>
      <c r="K8" t="s">
        <v>17</v>
      </c>
      <c r="L8" t="s">
        <v>10</v>
      </c>
      <c r="N8" t="s">
        <v>18</v>
      </c>
      <c r="O8" t="s">
        <v>19</v>
      </c>
      <c r="P8" t="s">
        <v>20</v>
      </c>
      <c r="Q8" t="s">
        <v>21</v>
      </c>
      <c r="R8" t="s">
        <v>22</v>
      </c>
      <c r="S8" t="s">
        <v>23</v>
      </c>
      <c r="T8" t="s">
        <v>23</v>
      </c>
    </row>
    <row r="9" spans="1:21">
      <c r="A9" t="s">
        <v>24</v>
      </c>
      <c r="B9" t="s">
        <v>25</v>
      </c>
      <c r="C9" t="s">
        <v>26</v>
      </c>
      <c r="D9" t="s">
        <v>27</v>
      </c>
      <c r="E9" t="s">
        <v>28</v>
      </c>
      <c r="F9" t="s">
        <v>29</v>
      </c>
      <c r="G9" t="s">
        <v>30</v>
      </c>
      <c r="H9" t="s">
        <v>31</v>
      </c>
      <c r="I9" t="s">
        <v>32</v>
      </c>
      <c r="K9" t="s">
        <v>31</v>
      </c>
      <c r="L9" t="s">
        <v>33</v>
      </c>
      <c r="O9" t="s">
        <v>34</v>
      </c>
      <c r="P9">
        <v>0</v>
      </c>
      <c r="Q9">
        <v>2.66</v>
      </c>
      <c r="R9">
        <v>2.5000000000000001E-2</v>
      </c>
      <c r="S9">
        <f>+Q9*62.5</f>
        <v>166.25</v>
      </c>
      <c r="T9">
        <f>+R9*58.9</f>
        <v>1.4725000000000001</v>
      </c>
      <c r="U9">
        <f>+S9/T9</f>
        <v>112.9032258064516</v>
      </c>
    </row>
    <row r="10" spans="1:21">
      <c r="A10">
        <v>1</v>
      </c>
      <c r="B10">
        <v>6.14</v>
      </c>
      <c r="C10">
        <v>3.65</v>
      </c>
      <c r="D10">
        <v>102</v>
      </c>
      <c r="E10">
        <f t="shared" ref="E10:E19" si="0">+(((D10/50)*60)*20)/1000</f>
        <v>2.448</v>
      </c>
      <c r="F10">
        <f>(6.24-C10)*E10</f>
        <v>6.3403200000000002</v>
      </c>
      <c r="G10">
        <f>+F10-2.11</f>
        <v>4.2303200000000007</v>
      </c>
      <c r="H10">
        <v>1.27</v>
      </c>
      <c r="I10">
        <f t="shared" ref="I10:I18" si="1">+G10/H10</f>
        <v>3.3309606299212602</v>
      </c>
      <c r="K10">
        <v>0.33779999999999999</v>
      </c>
      <c r="N10">
        <v>-1.0825831202046046E-2</v>
      </c>
      <c r="O10">
        <v>0</v>
      </c>
      <c r="P10">
        <v>1</v>
      </c>
      <c r="Q10">
        <v>2.69</v>
      </c>
      <c r="R10">
        <v>4.8000000000000001E-2</v>
      </c>
      <c r="S10">
        <f t="shared" ref="S10:S13" si="2">+Q10*62.5</f>
        <v>168.125</v>
      </c>
      <c r="T10">
        <f t="shared" ref="T10:T13" si="3">+R10*58.9</f>
        <v>2.8271999999999999</v>
      </c>
      <c r="U10">
        <f t="shared" ref="U10:U13" si="4">+S10/T10</f>
        <v>59.466963780418787</v>
      </c>
    </row>
    <row r="11" spans="1:21">
      <c r="A11">
        <v>2</v>
      </c>
      <c r="B11">
        <v>6.11</v>
      </c>
      <c r="C11">
        <v>3.26</v>
      </c>
      <c r="D11">
        <v>98</v>
      </c>
      <c r="E11">
        <f t="shared" si="0"/>
        <v>2.3519999999999999</v>
      </c>
      <c r="F11">
        <f t="shared" ref="F11:F19" si="5">(6.24-C11)*E11</f>
        <v>7.008960000000001</v>
      </c>
      <c r="G11">
        <f t="shared" ref="G11:G18" si="6">+F11-2.11</f>
        <v>4.8989600000000006</v>
      </c>
      <c r="H11">
        <v>1.145</v>
      </c>
      <c r="I11">
        <f t="shared" si="1"/>
        <v>4.2785676855895201</v>
      </c>
      <c r="K11">
        <v>0.28739999999999999</v>
      </c>
      <c r="N11">
        <v>5.0363087843833171E-2</v>
      </c>
      <c r="O11">
        <f t="shared" ref="O11:O18" si="7">(N11/H11)</f>
        <v>4.3985229557932902E-2</v>
      </c>
      <c r="P11">
        <v>2</v>
      </c>
      <c r="Q11">
        <v>3.45</v>
      </c>
      <c r="R11">
        <v>4.8000000000000001E-2</v>
      </c>
      <c r="S11">
        <f t="shared" si="2"/>
        <v>215.625</v>
      </c>
      <c r="T11">
        <f t="shared" si="3"/>
        <v>2.8271999999999999</v>
      </c>
      <c r="U11">
        <f t="shared" si="4"/>
        <v>76.268039049235995</v>
      </c>
    </row>
    <row r="12" spans="1:21">
      <c r="A12">
        <v>3</v>
      </c>
      <c r="B12">
        <v>6.28</v>
      </c>
      <c r="C12">
        <v>3.94</v>
      </c>
      <c r="D12">
        <v>108</v>
      </c>
      <c r="E12">
        <f t="shared" si="0"/>
        <v>2.5920000000000005</v>
      </c>
      <c r="F12">
        <f t="shared" si="5"/>
        <v>5.9616000000000016</v>
      </c>
      <c r="G12">
        <f t="shared" si="6"/>
        <v>3.8516000000000017</v>
      </c>
      <c r="H12">
        <v>0.94199999999999995</v>
      </c>
      <c r="I12">
        <f t="shared" si="1"/>
        <v>4.0887473460721893</v>
      </c>
      <c r="K12">
        <v>0.24490000000000001</v>
      </c>
      <c r="N12">
        <v>-1.4602898550724646E-2</v>
      </c>
      <c r="O12">
        <v>0</v>
      </c>
      <c r="P12">
        <v>3</v>
      </c>
      <c r="Q12">
        <v>3.22</v>
      </c>
      <c r="R12">
        <v>0.05</v>
      </c>
      <c r="S12">
        <f t="shared" si="2"/>
        <v>201.25</v>
      </c>
      <c r="T12">
        <f t="shared" si="3"/>
        <v>2.9450000000000003</v>
      </c>
      <c r="U12">
        <f t="shared" si="4"/>
        <v>68.336162988115447</v>
      </c>
    </row>
    <row r="13" spans="1:21">
      <c r="A13">
        <v>4</v>
      </c>
      <c r="B13">
        <v>6.3</v>
      </c>
      <c r="C13">
        <v>4.07</v>
      </c>
      <c r="D13">
        <v>102</v>
      </c>
      <c r="E13">
        <f t="shared" si="0"/>
        <v>2.448</v>
      </c>
      <c r="F13">
        <f t="shared" si="5"/>
        <v>5.3121599999999995</v>
      </c>
      <c r="G13">
        <f t="shared" si="6"/>
        <v>3.2021599999999997</v>
      </c>
      <c r="H13">
        <v>0.72499999999999998</v>
      </c>
      <c r="I13">
        <f t="shared" si="1"/>
        <v>4.4167724137931028</v>
      </c>
      <c r="K13">
        <v>0.17219999999999999</v>
      </c>
      <c r="N13">
        <v>-1.1369309462915624E-2</v>
      </c>
      <c r="O13">
        <v>0</v>
      </c>
      <c r="P13">
        <v>4</v>
      </c>
      <c r="Q13">
        <v>2.35</v>
      </c>
      <c r="R13">
        <v>0.03</v>
      </c>
      <c r="S13">
        <f t="shared" si="2"/>
        <v>146.875</v>
      </c>
      <c r="T13">
        <f t="shared" si="3"/>
        <v>1.7669999999999999</v>
      </c>
      <c r="U13">
        <f t="shared" si="4"/>
        <v>83.121109224674598</v>
      </c>
    </row>
    <row r="14" spans="1:21">
      <c r="A14">
        <v>5</v>
      </c>
      <c r="B14">
        <v>6.3</v>
      </c>
      <c r="C14">
        <v>4.21</v>
      </c>
      <c r="D14">
        <v>125</v>
      </c>
      <c r="E14">
        <f t="shared" si="0"/>
        <v>3</v>
      </c>
      <c r="F14">
        <f t="shared" si="5"/>
        <v>6.0900000000000007</v>
      </c>
      <c r="G14">
        <f t="shared" si="6"/>
        <v>3.9800000000000009</v>
      </c>
      <c r="H14">
        <v>0.77800000000000002</v>
      </c>
      <c r="I14">
        <f t="shared" si="1"/>
        <v>5.115681233933163</v>
      </c>
      <c r="K14">
        <v>0.20319999999999999</v>
      </c>
      <c r="N14">
        <v>4.1010434782608463E-3</v>
      </c>
      <c r="O14">
        <f t="shared" si="7"/>
        <v>5.2712641108751236E-3</v>
      </c>
      <c r="P14">
        <v>5</v>
      </c>
      <c r="Q14" t="s">
        <v>5</v>
      </c>
      <c r="R14" t="s">
        <v>5</v>
      </c>
    </row>
    <row r="15" spans="1:21">
      <c r="A15">
        <v>6</v>
      </c>
      <c r="B15">
        <v>6.28</v>
      </c>
      <c r="C15">
        <v>4.17</v>
      </c>
      <c r="D15">
        <v>95</v>
      </c>
      <c r="E15">
        <f t="shared" si="0"/>
        <v>2.2799999999999998</v>
      </c>
      <c r="F15">
        <f t="shared" si="5"/>
        <v>4.7196000000000007</v>
      </c>
      <c r="G15">
        <f t="shared" si="6"/>
        <v>2.6096000000000008</v>
      </c>
      <c r="H15">
        <v>0.77100000000000002</v>
      </c>
      <c r="I15">
        <f t="shared" si="1"/>
        <v>3.3846952010376143</v>
      </c>
      <c r="K15">
        <v>0.1925</v>
      </c>
      <c r="N15">
        <v>6.179473684210525E-2</v>
      </c>
      <c r="O15">
        <f t="shared" si="7"/>
        <v>8.0148815618813554E-2</v>
      </c>
      <c r="P15">
        <v>6</v>
      </c>
      <c r="Q15" t="s">
        <v>5</v>
      </c>
      <c r="R15" t="s">
        <v>5</v>
      </c>
    </row>
    <row r="16" spans="1:21">
      <c r="A16">
        <v>7</v>
      </c>
      <c r="C16">
        <v>4.47</v>
      </c>
      <c r="D16">
        <v>98</v>
      </c>
      <c r="E16">
        <f t="shared" si="0"/>
        <v>2.3519999999999999</v>
      </c>
      <c r="F16">
        <f t="shared" si="5"/>
        <v>4.1630400000000005</v>
      </c>
      <c r="G16">
        <f t="shared" si="6"/>
        <v>2.0530400000000006</v>
      </c>
      <c r="H16">
        <v>0.66</v>
      </c>
      <c r="I16">
        <f t="shared" si="1"/>
        <v>3.1106666666666674</v>
      </c>
      <c r="K16">
        <v>0.1673</v>
      </c>
      <c r="N16">
        <v>2.830230700976042E-2</v>
      </c>
      <c r="O16">
        <f t="shared" si="7"/>
        <v>4.2882283348121844E-2</v>
      </c>
      <c r="P16">
        <v>7</v>
      </c>
      <c r="Q16" t="s">
        <v>5</v>
      </c>
      <c r="R16" t="s">
        <v>5</v>
      </c>
    </row>
    <row r="17" spans="1:15">
      <c r="A17">
        <v>8</v>
      </c>
      <c r="B17">
        <f>+AVERAGE(B10:B15)</f>
        <v>6.2350000000000003</v>
      </c>
      <c r="C17">
        <v>4.37</v>
      </c>
      <c r="D17">
        <v>116</v>
      </c>
      <c r="E17">
        <f t="shared" si="0"/>
        <v>2.7839999999999998</v>
      </c>
      <c r="F17">
        <f t="shared" si="5"/>
        <v>5.20608</v>
      </c>
      <c r="G17">
        <f t="shared" si="6"/>
        <v>3.0960800000000002</v>
      </c>
      <c r="H17">
        <v>0.59299999999999997</v>
      </c>
      <c r="I17">
        <f t="shared" si="1"/>
        <v>5.2210455311973023</v>
      </c>
      <c r="K17">
        <v>0.16220000000000001</v>
      </c>
      <c r="N17">
        <v>2.4488305847076453E-2</v>
      </c>
      <c r="O17">
        <f t="shared" si="7"/>
        <v>4.1295625374496547E-2</v>
      </c>
    </row>
    <row r="18" spans="1:15">
      <c r="A18">
        <v>9</v>
      </c>
      <c r="C18">
        <v>5.01</v>
      </c>
      <c r="D18">
        <v>93</v>
      </c>
      <c r="E18">
        <f t="shared" si="0"/>
        <v>2.2320000000000002</v>
      </c>
      <c r="F18">
        <f t="shared" si="5"/>
        <v>2.7453600000000011</v>
      </c>
      <c r="G18">
        <f t="shared" si="6"/>
        <v>0.63536000000000126</v>
      </c>
      <c r="H18">
        <v>0.66900000000000004</v>
      </c>
      <c r="I18">
        <f t="shared" si="1"/>
        <v>0.94971599402092854</v>
      </c>
      <c r="K18">
        <v>0.16600000000000001</v>
      </c>
      <c r="N18">
        <v>1.2682047685834485E-2</v>
      </c>
      <c r="O18">
        <f t="shared" si="7"/>
        <v>1.8956722998257822E-2</v>
      </c>
    </row>
    <row r="19" spans="1:15">
      <c r="A19" t="s">
        <v>35</v>
      </c>
      <c r="C19">
        <v>5.27</v>
      </c>
      <c r="D19">
        <v>91</v>
      </c>
      <c r="E19">
        <f t="shared" si="0"/>
        <v>2.1840000000000002</v>
      </c>
      <c r="F19">
        <f t="shared" si="5"/>
        <v>2.1184800000000017</v>
      </c>
    </row>
    <row r="21" spans="1:15">
      <c r="C21">
        <f t="shared" ref="C21:L21" si="8">+AVERAGE(C10:C19)</f>
        <v>4.2419999999999991</v>
      </c>
      <c r="D21">
        <f t="shared" si="8"/>
        <v>102.8</v>
      </c>
      <c r="E21">
        <f t="shared" si="8"/>
        <v>2.4671999999999996</v>
      </c>
      <c r="F21">
        <f t="shared" si="8"/>
        <v>4.9665599999999994</v>
      </c>
      <c r="G21">
        <f t="shared" si="8"/>
        <v>3.1730133333333339</v>
      </c>
      <c r="H21">
        <f t="shared" si="8"/>
        <v>0.83922222222222209</v>
      </c>
      <c r="I21">
        <f t="shared" si="8"/>
        <v>3.7663169669146388</v>
      </c>
      <c r="J21" t="e">
        <f t="shared" si="8"/>
        <v>#DIV/0!</v>
      </c>
      <c r="K21">
        <f t="shared" si="8"/>
        <v>0.21483333333333332</v>
      </c>
      <c r="L21" t="e">
        <f t="shared" si="8"/>
        <v>#DIV/0!</v>
      </c>
      <c r="O21">
        <f>+AVERAGE(O10:O19)</f>
        <v>2.5837771223166425E-2</v>
      </c>
    </row>
    <row r="27" spans="1:15">
      <c r="A27" t="s">
        <v>36</v>
      </c>
      <c r="N27" t="s">
        <v>18</v>
      </c>
    </row>
    <row r="28" spans="1:15">
      <c r="B28" t="s">
        <v>13</v>
      </c>
      <c r="D28" t="s">
        <v>14</v>
      </c>
      <c r="E28" t="s">
        <v>14</v>
      </c>
      <c r="F28" t="s">
        <v>15</v>
      </c>
      <c r="H28" t="s">
        <v>16</v>
      </c>
      <c r="I28" t="s">
        <v>10</v>
      </c>
      <c r="K28" t="s">
        <v>17</v>
      </c>
      <c r="L28" t="s">
        <v>10</v>
      </c>
      <c r="O28" t="s">
        <v>19</v>
      </c>
    </row>
    <row r="29" spans="1:15">
      <c r="A29" t="s">
        <v>24</v>
      </c>
      <c r="B29" t="s">
        <v>25</v>
      </c>
      <c r="C29" t="s">
        <v>37</v>
      </c>
      <c r="D29" t="s">
        <v>27</v>
      </c>
      <c r="E29" t="s">
        <v>28</v>
      </c>
      <c r="F29" t="s">
        <v>29</v>
      </c>
      <c r="G29" t="s">
        <v>30</v>
      </c>
      <c r="H29" t="s">
        <v>31</v>
      </c>
      <c r="I29" t="s">
        <v>32</v>
      </c>
      <c r="K29" t="s">
        <v>31</v>
      </c>
      <c r="L29" t="s">
        <v>33</v>
      </c>
      <c r="O29" t="s">
        <v>34</v>
      </c>
    </row>
    <row r="30" spans="1:15">
      <c r="A30">
        <v>1</v>
      </c>
      <c r="B30">
        <v>5.6</v>
      </c>
      <c r="C30">
        <v>3.24</v>
      </c>
      <c r="D30">
        <v>102</v>
      </c>
      <c r="E30">
        <f t="shared" ref="E30:E39" si="9">+(((D30/50)*60)*20)/1000</f>
        <v>2.448</v>
      </c>
      <c r="F30">
        <f>(5.54-C30)*E30</f>
        <v>5.6303999999999998</v>
      </c>
      <c r="G30">
        <f>+F30-2.27</f>
        <v>3.3603999999999998</v>
      </c>
      <c r="H30">
        <v>1.27</v>
      </c>
      <c r="I30">
        <f t="shared" ref="I30:I38" si="10">+G30/H30</f>
        <v>2.6459842519685037</v>
      </c>
      <c r="N30">
        <v>0.10531176470588234</v>
      </c>
      <c r="O30">
        <f>(N30/H30)</f>
        <v>8.29226493747105E-2</v>
      </c>
    </row>
    <row r="31" spans="1:15">
      <c r="A31">
        <v>2</v>
      </c>
      <c r="B31">
        <v>5.62</v>
      </c>
      <c r="C31">
        <v>3.36</v>
      </c>
      <c r="D31">
        <v>98</v>
      </c>
      <c r="E31">
        <f t="shared" si="9"/>
        <v>2.3519999999999999</v>
      </c>
      <c r="F31">
        <f t="shared" ref="F31:F39" si="11">(5.54-C31)*E31</f>
        <v>5.1273600000000004</v>
      </c>
      <c r="G31">
        <f t="shared" ref="G31:G38" si="12">+F31-2.27</f>
        <v>2.8573600000000003</v>
      </c>
      <c r="H31">
        <v>1.145</v>
      </c>
      <c r="I31">
        <f t="shared" si="10"/>
        <v>2.4955109170305678</v>
      </c>
      <c r="N31">
        <v>9.8948163265306116E-2</v>
      </c>
      <c r="O31">
        <f t="shared" ref="O31:O32" si="13">(N31/H31)</f>
        <v>8.64176098386953E-2</v>
      </c>
    </row>
    <row r="32" spans="1:15">
      <c r="A32">
        <v>3</v>
      </c>
      <c r="B32">
        <v>5.57</v>
      </c>
      <c r="C32">
        <v>3.39</v>
      </c>
      <c r="D32">
        <v>108</v>
      </c>
      <c r="E32">
        <f t="shared" si="9"/>
        <v>2.5920000000000005</v>
      </c>
      <c r="F32">
        <f t="shared" si="11"/>
        <v>5.5728000000000009</v>
      </c>
      <c r="G32">
        <f t="shared" si="12"/>
        <v>3.3028000000000008</v>
      </c>
      <c r="H32">
        <v>0.94199999999999995</v>
      </c>
      <c r="I32">
        <f t="shared" si="10"/>
        <v>3.5061571125265405</v>
      </c>
      <c r="N32">
        <v>2.3759999999999989E-2</v>
      </c>
      <c r="O32">
        <f t="shared" si="13"/>
        <v>2.5222929936305722E-2</v>
      </c>
    </row>
    <row r="33" spans="1:15">
      <c r="A33">
        <v>4</v>
      </c>
      <c r="B33">
        <v>5.68</v>
      </c>
      <c r="C33">
        <v>3.71</v>
      </c>
      <c r="D33">
        <v>102</v>
      </c>
      <c r="E33">
        <f t="shared" si="9"/>
        <v>2.448</v>
      </c>
      <c r="F33">
        <f t="shared" si="11"/>
        <v>4.4798400000000003</v>
      </c>
      <c r="G33">
        <f t="shared" si="12"/>
        <v>2.2098400000000002</v>
      </c>
      <c r="H33">
        <v>0.72499999999999998</v>
      </c>
      <c r="I33">
        <f t="shared" si="10"/>
        <v>3.0480551724137936</v>
      </c>
      <c r="N33">
        <v>-1.6008235294117643E-2</v>
      </c>
      <c r="O33">
        <f t="shared" ref="O33:O37" si="14">(N34/H34)</f>
        <v>6.3805655526992286E-2</v>
      </c>
    </row>
    <row r="34" spans="1:15">
      <c r="A34">
        <v>5</v>
      </c>
      <c r="B34">
        <v>5.38</v>
      </c>
      <c r="C34">
        <v>3.77</v>
      </c>
      <c r="D34">
        <v>125</v>
      </c>
      <c r="E34">
        <f t="shared" si="9"/>
        <v>3</v>
      </c>
      <c r="F34">
        <f t="shared" si="11"/>
        <v>5.3100000000000005</v>
      </c>
      <c r="G34">
        <f t="shared" si="12"/>
        <v>3.0400000000000005</v>
      </c>
      <c r="H34">
        <v>0.77800000000000002</v>
      </c>
      <c r="I34">
        <f t="shared" si="10"/>
        <v>3.9074550128534709</v>
      </c>
      <c r="N34">
        <v>4.9640799999999999E-2</v>
      </c>
      <c r="O34">
        <f t="shared" si="14"/>
        <v>2.4349238855894587E-2</v>
      </c>
    </row>
    <row r="35" spans="1:15">
      <c r="A35">
        <v>6</v>
      </c>
      <c r="B35">
        <v>5.41</v>
      </c>
      <c r="C35">
        <v>3.88</v>
      </c>
      <c r="D35">
        <v>95</v>
      </c>
      <c r="E35">
        <f t="shared" si="9"/>
        <v>2.2799999999999998</v>
      </c>
      <c r="F35">
        <f t="shared" si="11"/>
        <v>3.7848000000000002</v>
      </c>
      <c r="G35">
        <f t="shared" si="12"/>
        <v>1.5148000000000001</v>
      </c>
      <c r="H35">
        <v>0.77100000000000002</v>
      </c>
      <c r="I35">
        <f t="shared" si="10"/>
        <v>1.964721141374838</v>
      </c>
      <c r="N35">
        <v>1.8773263157894727E-2</v>
      </c>
      <c r="O35">
        <f t="shared" si="14"/>
        <v>5.0949288806431639E-2</v>
      </c>
    </row>
    <row r="36" spans="1:15">
      <c r="A36">
        <v>7</v>
      </c>
      <c r="C36">
        <v>3.74</v>
      </c>
      <c r="D36">
        <v>98</v>
      </c>
      <c r="E36">
        <f t="shared" si="9"/>
        <v>2.3519999999999999</v>
      </c>
      <c r="F36">
        <f t="shared" si="11"/>
        <v>4.2335999999999991</v>
      </c>
      <c r="G36">
        <f t="shared" si="12"/>
        <v>1.9635999999999991</v>
      </c>
      <c r="H36">
        <v>0.66</v>
      </c>
      <c r="I36">
        <f t="shared" si="10"/>
        <v>2.9751515151515138</v>
      </c>
      <c r="N36">
        <v>3.3626530612244881E-2</v>
      </c>
      <c r="O36">
        <f t="shared" si="14"/>
        <v>8.5833575623655289E-2</v>
      </c>
    </row>
    <row r="37" spans="1:15">
      <c r="A37">
        <v>8</v>
      </c>
      <c r="B37">
        <f>+AVERAGE(B30:B35)</f>
        <v>5.543333333333333</v>
      </c>
      <c r="C37">
        <v>3.73</v>
      </c>
      <c r="D37">
        <v>116</v>
      </c>
      <c r="E37">
        <f t="shared" si="9"/>
        <v>2.7839999999999998</v>
      </c>
      <c r="F37">
        <f t="shared" si="11"/>
        <v>5.03904</v>
      </c>
      <c r="G37">
        <f t="shared" si="12"/>
        <v>2.7690399999999999</v>
      </c>
      <c r="H37">
        <v>0.59299999999999997</v>
      </c>
      <c r="I37">
        <f t="shared" si="10"/>
        <v>4.6695446880269813</v>
      </c>
      <c r="N37">
        <v>5.0899310344827586E-2</v>
      </c>
      <c r="O37">
        <f t="shared" si="14"/>
        <v>1.259559284439944E-2</v>
      </c>
    </row>
    <row r="38" spans="1:15">
      <c r="A38">
        <v>9</v>
      </c>
      <c r="C38">
        <v>4.1100000000000003</v>
      </c>
      <c r="D38">
        <v>93</v>
      </c>
      <c r="E38">
        <f t="shared" si="9"/>
        <v>2.2320000000000002</v>
      </c>
      <c r="F38">
        <f t="shared" si="11"/>
        <v>3.1917599999999995</v>
      </c>
      <c r="G38">
        <f t="shared" si="12"/>
        <v>0.92175999999999947</v>
      </c>
      <c r="H38">
        <v>0.66900000000000004</v>
      </c>
      <c r="I38">
        <f t="shared" si="10"/>
        <v>1.3778176382660678</v>
      </c>
      <c r="N38">
        <v>8.4264516129032262E-3</v>
      </c>
    </row>
    <row r="39" spans="1:15">
      <c r="A39" t="s">
        <v>35</v>
      </c>
      <c r="C39">
        <v>4.5</v>
      </c>
      <c r="D39">
        <v>91</v>
      </c>
      <c r="E39">
        <f t="shared" si="9"/>
        <v>2.1840000000000002</v>
      </c>
      <c r="F39">
        <f t="shared" si="11"/>
        <v>2.27136</v>
      </c>
    </row>
    <row r="41" spans="1:15">
      <c r="C41">
        <f t="shared" ref="C41:L41" si="15">+AVERAGE(C30:C39)</f>
        <v>3.7429999999999999</v>
      </c>
      <c r="D41">
        <f t="shared" si="15"/>
        <v>102.8</v>
      </c>
      <c r="E41">
        <f t="shared" si="15"/>
        <v>2.4671999999999996</v>
      </c>
      <c r="F41">
        <f t="shared" si="15"/>
        <v>4.4640960000000005</v>
      </c>
      <c r="G41">
        <f t="shared" si="15"/>
        <v>2.4377333333333335</v>
      </c>
      <c r="H41">
        <f t="shared" si="15"/>
        <v>0.83922222222222209</v>
      </c>
      <c r="I41">
        <f t="shared" si="15"/>
        <v>2.9544886055124753</v>
      </c>
      <c r="J41" t="e">
        <f t="shared" si="15"/>
        <v>#DIV/0!</v>
      </c>
      <c r="K41" t="e">
        <f t="shared" si="15"/>
        <v>#DIV/0!</v>
      </c>
      <c r="L41" t="e">
        <f t="shared" si="15"/>
        <v>#DIV/0!</v>
      </c>
      <c r="O41">
        <f>+AVERAGE(O30:O39)</f>
        <v>5.4012067600885588E-2</v>
      </c>
    </row>
    <row r="46" spans="1:15">
      <c r="A46" t="s">
        <v>38</v>
      </c>
      <c r="C46" t="s">
        <v>39</v>
      </c>
      <c r="N46" t="s">
        <v>18</v>
      </c>
    </row>
    <row r="47" spans="1:15">
      <c r="B47" t="s">
        <v>13</v>
      </c>
      <c r="D47" t="s">
        <v>14</v>
      </c>
      <c r="E47" t="s">
        <v>14</v>
      </c>
      <c r="F47" t="s">
        <v>15</v>
      </c>
      <c r="H47" t="s">
        <v>16</v>
      </c>
      <c r="I47" t="s">
        <v>10</v>
      </c>
      <c r="K47" t="s">
        <v>17</v>
      </c>
      <c r="L47" t="s">
        <v>10</v>
      </c>
      <c r="O47" t="s">
        <v>19</v>
      </c>
    </row>
    <row r="48" spans="1:15">
      <c r="A48" t="s">
        <v>24</v>
      </c>
      <c r="B48" t="s">
        <v>25</v>
      </c>
      <c r="C48" t="s">
        <v>37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K48" t="s">
        <v>31</v>
      </c>
      <c r="L48" t="s">
        <v>33</v>
      </c>
      <c r="O48" t="s">
        <v>34</v>
      </c>
    </row>
    <row r="49" spans="1:15">
      <c r="A49">
        <v>1</v>
      </c>
      <c r="B49">
        <v>5.85</v>
      </c>
      <c r="C49">
        <v>3.11</v>
      </c>
      <c r="D49">
        <v>102</v>
      </c>
      <c r="E49">
        <f t="shared" ref="E49:E58" si="16">+(((D49/50)*60)*20)/1000</f>
        <v>2.448</v>
      </c>
      <c r="F49">
        <f>(5.58-C49)*E49</f>
        <v>6.0465600000000004</v>
      </c>
      <c r="G49">
        <f>+F49-2.12</f>
        <v>3.9265600000000003</v>
      </c>
      <c r="H49">
        <v>1.27</v>
      </c>
      <c r="I49">
        <f t="shared" ref="I49:I57" si="17">+G49/H49</f>
        <v>3.0917795275590554</v>
      </c>
      <c r="N49">
        <v>5.3422416534181234E-2</v>
      </c>
      <c r="O49">
        <f>(N49/H49)</f>
        <v>4.2064894908804121E-2</v>
      </c>
    </row>
    <row r="50" spans="1:15">
      <c r="A50">
        <v>2</v>
      </c>
      <c r="B50">
        <v>5.82</v>
      </c>
      <c r="C50">
        <v>2.98</v>
      </c>
      <c r="D50">
        <v>98</v>
      </c>
      <c r="E50">
        <f t="shared" si="16"/>
        <v>2.3519999999999999</v>
      </c>
      <c r="F50">
        <f t="shared" ref="F50:F58" si="18">(5.58-C50)*E50</f>
        <v>6.1151999999999997</v>
      </c>
      <c r="G50">
        <f t="shared" ref="G50:G57" si="19">+F50-2.12</f>
        <v>3.9951999999999996</v>
      </c>
      <c r="H50">
        <v>1.145</v>
      </c>
      <c r="I50">
        <f t="shared" si="17"/>
        <v>3.4892576419213972</v>
      </c>
      <c r="N50">
        <v>1.6894594594594591E-2</v>
      </c>
      <c r="O50">
        <f t="shared" ref="O50:O57" si="20">(N50/H50)</f>
        <v>1.475510444942759E-2</v>
      </c>
    </row>
    <row r="51" spans="1:15">
      <c r="A51">
        <v>3</v>
      </c>
      <c r="B51">
        <v>5.42</v>
      </c>
      <c r="C51">
        <v>3.32</v>
      </c>
      <c r="D51">
        <v>108</v>
      </c>
      <c r="E51">
        <f t="shared" si="16"/>
        <v>2.5920000000000005</v>
      </c>
      <c r="F51">
        <f t="shared" si="18"/>
        <v>5.8579200000000018</v>
      </c>
      <c r="G51">
        <f t="shared" si="19"/>
        <v>3.7379200000000017</v>
      </c>
      <c r="H51">
        <v>0.94199999999999995</v>
      </c>
      <c r="I51">
        <f t="shared" si="17"/>
        <v>3.9680679405520189</v>
      </c>
      <c r="N51">
        <v>4.0348048048048035E-2</v>
      </c>
      <c r="O51">
        <f t="shared" si="20"/>
        <v>4.2832322768628493E-2</v>
      </c>
    </row>
    <row r="52" spans="1:15">
      <c r="A52">
        <v>4</v>
      </c>
      <c r="B52">
        <v>5.38</v>
      </c>
      <c r="C52">
        <v>3.49</v>
      </c>
      <c r="D52">
        <v>102</v>
      </c>
      <c r="E52">
        <f t="shared" si="16"/>
        <v>2.448</v>
      </c>
      <c r="F52">
        <f t="shared" si="18"/>
        <v>5.11632</v>
      </c>
      <c r="G52">
        <f t="shared" si="19"/>
        <v>2.9963199999999999</v>
      </c>
      <c r="H52">
        <v>0.72499999999999998</v>
      </c>
      <c r="I52">
        <f t="shared" si="17"/>
        <v>4.1328551724137927</v>
      </c>
      <c r="N52">
        <v>5.9899841017488006E-3</v>
      </c>
      <c r="O52">
        <f t="shared" si="20"/>
        <v>8.2620470368948984E-3</v>
      </c>
    </row>
    <row r="53" spans="1:15">
      <c r="A53">
        <v>5</v>
      </c>
      <c r="B53">
        <v>5.52</v>
      </c>
      <c r="C53">
        <v>3.72</v>
      </c>
      <c r="D53">
        <v>125</v>
      </c>
      <c r="E53">
        <f t="shared" si="16"/>
        <v>3</v>
      </c>
      <c r="F53">
        <f t="shared" si="18"/>
        <v>5.58</v>
      </c>
      <c r="G53">
        <f t="shared" si="19"/>
        <v>3.46</v>
      </c>
      <c r="H53">
        <v>0.77800000000000002</v>
      </c>
      <c r="I53">
        <f t="shared" si="17"/>
        <v>4.4473007712082264</v>
      </c>
      <c r="N53">
        <v>4.0609837837837823E-2</v>
      </c>
      <c r="O53">
        <f t="shared" si="20"/>
        <v>5.2197735010074318E-2</v>
      </c>
    </row>
    <row r="54" spans="1:15">
      <c r="A54">
        <v>6</v>
      </c>
      <c r="B54">
        <v>5.5</v>
      </c>
      <c r="C54">
        <v>3.47</v>
      </c>
      <c r="D54">
        <v>95</v>
      </c>
      <c r="E54">
        <f t="shared" si="16"/>
        <v>2.2799999999999998</v>
      </c>
      <c r="F54">
        <f t="shared" si="18"/>
        <v>4.8107999999999995</v>
      </c>
      <c r="G54">
        <f t="shared" si="19"/>
        <v>2.6907999999999994</v>
      </c>
      <c r="H54">
        <v>0.77100000000000002</v>
      </c>
      <c r="I54">
        <f t="shared" si="17"/>
        <v>3.4900129701686113</v>
      </c>
      <c r="N54">
        <v>9.7242532005689886E-2</v>
      </c>
      <c r="O54">
        <f t="shared" si="20"/>
        <v>0.12612520363902707</v>
      </c>
    </row>
    <row r="55" spans="1:15">
      <c r="A55">
        <v>7</v>
      </c>
      <c r="C55">
        <v>3.72</v>
      </c>
      <c r="D55">
        <v>98</v>
      </c>
      <c r="E55">
        <f t="shared" si="16"/>
        <v>2.3519999999999999</v>
      </c>
      <c r="F55">
        <f t="shared" si="18"/>
        <v>4.3747199999999991</v>
      </c>
      <c r="G55">
        <f t="shared" si="19"/>
        <v>2.2547199999999989</v>
      </c>
      <c r="H55">
        <v>0.66</v>
      </c>
      <c r="I55">
        <f t="shared" si="17"/>
        <v>3.4162424242424225</v>
      </c>
      <c r="N55">
        <v>2.0973469387755097E-2</v>
      </c>
      <c r="O55">
        <f t="shared" si="20"/>
        <v>3.1777983920841052E-2</v>
      </c>
    </row>
    <row r="56" spans="1:15">
      <c r="A56">
        <v>8</v>
      </c>
      <c r="B56">
        <f>+AVERAGE(B49:B54)</f>
        <v>5.5816666666666661</v>
      </c>
      <c r="C56">
        <v>3.47</v>
      </c>
      <c r="D56">
        <v>116</v>
      </c>
      <c r="E56">
        <f t="shared" si="16"/>
        <v>2.7839999999999998</v>
      </c>
      <c r="F56">
        <f t="shared" si="18"/>
        <v>5.8742399999999995</v>
      </c>
      <c r="G56">
        <f t="shared" si="19"/>
        <v>3.7542399999999994</v>
      </c>
      <c r="H56">
        <v>0.59299999999999997</v>
      </c>
      <c r="I56">
        <f t="shared" si="17"/>
        <v>6.3309274873524446</v>
      </c>
      <c r="N56">
        <v>4.6289282385834116E-2</v>
      </c>
      <c r="O56">
        <f t="shared" si="20"/>
        <v>7.8059498121136786E-2</v>
      </c>
    </row>
    <row r="57" spans="1:15">
      <c r="A57">
        <v>9</v>
      </c>
      <c r="C57">
        <v>4.03</v>
      </c>
      <c r="D57">
        <v>93</v>
      </c>
      <c r="E57">
        <f t="shared" si="16"/>
        <v>2.2320000000000002</v>
      </c>
      <c r="F57">
        <f t="shared" si="18"/>
        <v>3.4596</v>
      </c>
      <c r="G57">
        <f t="shared" si="19"/>
        <v>1.3395999999999999</v>
      </c>
      <c r="H57">
        <v>0.66900000000000004</v>
      </c>
      <c r="I57">
        <f t="shared" si="17"/>
        <v>2.0023916292974588</v>
      </c>
      <c r="N57">
        <v>2.4693199651264156E-2</v>
      </c>
      <c r="O57">
        <f t="shared" si="20"/>
        <v>3.6910612333728186E-2</v>
      </c>
    </row>
    <row r="58" spans="1:15">
      <c r="A58" t="s">
        <v>35</v>
      </c>
      <c r="C58">
        <v>4.6100000000000003</v>
      </c>
      <c r="D58">
        <v>91</v>
      </c>
      <c r="E58">
        <f t="shared" si="16"/>
        <v>2.1840000000000002</v>
      </c>
      <c r="F58">
        <f t="shared" si="18"/>
        <v>2.1184799999999995</v>
      </c>
    </row>
    <row r="60" spans="1:15">
      <c r="C60">
        <f t="shared" ref="C60:L60" si="21">+AVERAGE(C49:C58)</f>
        <v>3.5920000000000001</v>
      </c>
      <c r="D60">
        <f t="shared" si="21"/>
        <v>102.8</v>
      </c>
      <c r="E60">
        <f t="shared" si="21"/>
        <v>2.4671999999999996</v>
      </c>
      <c r="F60">
        <f t="shared" si="21"/>
        <v>4.935384</v>
      </c>
      <c r="G60">
        <f t="shared" si="21"/>
        <v>3.1283733333333337</v>
      </c>
      <c r="H60">
        <f t="shared" si="21"/>
        <v>0.83922222222222209</v>
      </c>
      <c r="I60">
        <f t="shared" si="21"/>
        <v>3.8187595071906029</v>
      </c>
      <c r="J60" t="e">
        <f t="shared" si="21"/>
        <v>#DIV/0!</v>
      </c>
      <c r="K60" t="e">
        <f t="shared" si="21"/>
        <v>#DIV/0!</v>
      </c>
      <c r="L60" t="e">
        <f t="shared" si="21"/>
        <v>#DIV/0!</v>
      </c>
      <c r="O60">
        <f>+AVERAGE(O49:O58)</f>
        <v>4.8109489132062505E-2</v>
      </c>
    </row>
    <row r="65" spans="1:15">
      <c r="A65" t="s">
        <v>40</v>
      </c>
      <c r="C65" t="s">
        <v>41</v>
      </c>
      <c r="N65" t="s">
        <v>18</v>
      </c>
    </row>
    <row r="66" spans="1:15">
      <c r="B66" t="s">
        <v>13</v>
      </c>
      <c r="D66" t="s">
        <v>14</v>
      </c>
      <c r="E66" t="s">
        <v>14</v>
      </c>
      <c r="F66" t="s">
        <v>15</v>
      </c>
      <c r="H66" t="s">
        <v>16</v>
      </c>
      <c r="I66" t="s">
        <v>10</v>
      </c>
      <c r="K66" t="s">
        <v>17</v>
      </c>
      <c r="L66" t="s">
        <v>10</v>
      </c>
      <c r="O66" t="s">
        <v>19</v>
      </c>
    </row>
    <row r="67" spans="1:15">
      <c r="A67" t="s">
        <v>24</v>
      </c>
      <c r="B67" t="s">
        <v>25</v>
      </c>
      <c r="C67" t="s">
        <v>37</v>
      </c>
      <c r="D67" t="s">
        <v>27</v>
      </c>
      <c r="E67" t="s">
        <v>28</v>
      </c>
      <c r="F67" t="s">
        <v>29</v>
      </c>
      <c r="G67" t="s">
        <v>30</v>
      </c>
      <c r="H67" t="s">
        <v>31</v>
      </c>
      <c r="I67" t="s">
        <v>32</v>
      </c>
      <c r="K67" t="s">
        <v>31</v>
      </c>
      <c r="L67" t="s">
        <v>33</v>
      </c>
      <c r="O67" t="s">
        <v>34</v>
      </c>
    </row>
    <row r="68" spans="1:15">
      <c r="A68">
        <v>1</v>
      </c>
      <c r="B68">
        <v>5.65</v>
      </c>
      <c r="C68">
        <v>3.23</v>
      </c>
      <c r="D68">
        <v>102</v>
      </c>
      <c r="E68">
        <f t="shared" ref="E68:E77" si="22">+(((D68/50)*60)*20)/1000</f>
        <v>2.448</v>
      </c>
      <c r="F68">
        <f>(5.65-C68)*E68</f>
        <v>5.9241600000000005</v>
      </c>
      <c r="G68">
        <f>+F68-2.12</f>
        <v>3.8041600000000004</v>
      </c>
      <c r="H68">
        <v>1.27</v>
      </c>
      <c r="I68">
        <f t="shared" ref="I68:I76" si="23">+G68/H68</f>
        <v>2.9954015748031497</v>
      </c>
      <c r="N68">
        <v>0.10612925278219396</v>
      </c>
      <c r="O68">
        <f>(N68/H68)</f>
        <v>8.356634077338107E-2</v>
      </c>
    </row>
    <row r="69" spans="1:15">
      <c r="A69">
        <v>2</v>
      </c>
      <c r="B69">
        <v>5.75</v>
      </c>
      <c r="C69">
        <v>3.12</v>
      </c>
      <c r="D69">
        <v>98</v>
      </c>
      <c r="E69">
        <f t="shared" si="22"/>
        <v>2.3519999999999999</v>
      </c>
      <c r="F69">
        <f t="shared" ref="F69:F77" si="24">(5.65-C69)*E69</f>
        <v>5.9505600000000003</v>
      </c>
      <c r="G69">
        <f t="shared" ref="G69:G76" si="25">+F69-2.12</f>
        <v>3.8305600000000002</v>
      </c>
      <c r="H69">
        <v>1.145</v>
      </c>
      <c r="I69">
        <f t="shared" si="23"/>
        <v>3.3454672489082973</v>
      </c>
      <c r="N69">
        <v>3.9335410921125205E-2</v>
      </c>
      <c r="O69">
        <f t="shared" ref="O69:O76" si="26">(N69/H69)</f>
        <v>3.4354070673471793E-2</v>
      </c>
    </row>
    <row r="70" spans="1:15">
      <c r="A70">
        <v>3</v>
      </c>
      <c r="B70">
        <v>5.66</v>
      </c>
      <c r="C70">
        <v>3.48</v>
      </c>
      <c r="D70">
        <v>108</v>
      </c>
      <c r="E70">
        <f t="shared" si="22"/>
        <v>2.5920000000000005</v>
      </c>
      <c r="F70">
        <f t="shared" si="24"/>
        <v>5.6246400000000021</v>
      </c>
      <c r="G70">
        <f t="shared" si="25"/>
        <v>3.504640000000002</v>
      </c>
      <c r="H70">
        <v>0.94199999999999995</v>
      </c>
      <c r="I70">
        <f t="shared" si="23"/>
        <v>3.7204246284501084</v>
      </c>
      <c r="N70">
        <v>2.8638438438438444E-2</v>
      </c>
      <c r="O70">
        <f t="shared" si="26"/>
        <v>3.040173931893678E-2</v>
      </c>
    </row>
    <row r="71" spans="1:15">
      <c r="A71">
        <v>4</v>
      </c>
      <c r="B71">
        <v>5.53</v>
      </c>
      <c r="C71">
        <v>3.49</v>
      </c>
      <c r="D71">
        <v>102</v>
      </c>
      <c r="E71">
        <f t="shared" si="22"/>
        <v>2.448</v>
      </c>
      <c r="F71">
        <f t="shared" si="24"/>
        <v>5.2876799999999999</v>
      </c>
      <c r="G71">
        <f t="shared" si="25"/>
        <v>3.1676799999999998</v>
      </c>
      <c r="H71">
        <v>0.72499999999999998</v>
      </c>
      <c r="I71">
        <f t="shared" si="23"/>
        <v>4.369213793103448</v>
      </c>
      <c r="N71">
        <v>5.0723847376788547E-2</v>
      </c>
      <c r="O71">
        <f t="shared" si="26"/>
        <v>6.9963927416260063E-2</v>
      </c>
    </row>
    <row r="72" spans="1:15">
      <c r="A72">
        <v>5</v>
      </c>
      <c r="B72">
        <v>5.72</v>
      </c>
      <c r="C72">
        <v>3.65</v>
      </c>
      <c r="D72">
        <v>125</v>
      </c>
      <c r="E72">
        <f t="shared" si="22"/>
        <v>3</v>
      </c>
      <c r="F72">
        <f t="shared" si="24"/>
        <v>6.0000000000000018</v>
      </c>
      <c r="G72">
        <f t="shared" si="25"/>
        <v>3.8800000000000017</v>
      </c>
      <c r="H72">
        <v>0.77800000000000002</v>
      </c>
      <c r="I72">
        <f t="shared" si="23"/>
        <v>4.9871465295629838</v>
      </c>
      <c r="N72">
        <v>3.5597513513513507E-2</v>
      </c>
      <c r="O72">
        <f t="shared" si="26"/>
        <v>4.5755158757729439E-2</v>
      </c>
    </row>
    <row r="73" spans="1:15">
      <c r="A73">
        <v>6</v>
      </c>
      <c r="B73">
        <v>5.6</v>
      </c>
      <c r="C73">
        <v>3.81</v>
      </c>
      <c r="D73">
        <v>95</v>
      </c>
      <c r="E73">
        <f t="shared" si="22"/>
        <v>2.2799999999999998</v>
      </c>
      <c r="F73">
        <f t="shared" si="24"/>
        <v>4.1952000000000007</v>
      </c>
      <c r="G73">
        <f t="shared" si="25"/>
        <v>2.0752000000000006</v>
      </c>
      <c r="H73">
        <v>0.77100000000000002</v>
      </c>
      <c r="I73">
        <f t="shared" si="23"/>
        <v>2.6915693904020759</v>
      </c>
      <c r="N73">
        <v>1.0686059743954477E-2</v>
      </c>
      <c r="O73">
        <f t="shared" si="26"/>
        <v>1.3859999667904639E-2</v>
      </c>
    </row>
    <row r="74" spans="1:15">
      <c r="A74">
        <v>7</v>
      </c>
      <c r="B74" t="s">
        <v>5</v>
      </c>
      <c r="C74">
        <v>4.0999999999999996</v>
      </c>
      <c r="D74">
        <v>98</v>
      </c>
      <c r="E74">
        <f t="shared" si="22"/>
        <v>2.3519999999999999</v>
      </c>
      <c r="F74">
        <f t="shared" si="24"/>
        <v>3.6456000000000013</v>
      </c>
      <c r="G74">
        <f t="shared" si="25"/>
        <v>1.5256000000000012</v>
      </c>
      <c r="H74">
        <v>0.66</v>
      </c>
      <c r="I74">
        <f t="shared" si="23"/>
        <v>2.3115151515151533</v>
      </c>
      <c r="N74">
        <v>7.8998952013237728E-2</v>
      </c>
      <c r="O74">
        <f t="shared" si="26"/>
        <v>0.11969538183823898</v>
      </c>
    </row>
    <row r="75" spans="1:15">
      <c r="A75">
        <v>8</v>
      </c>
      <c r="B75">
        <f>+AVERAGE(B68:B73)</f>
        <v>5.6516666666666673</v>
      </c>
      <c r="C75">
        <v>4.09</v>
      </c>
      <c r="D75">
        <v>116</v>
      </c>
      <c r="E75">
        <f t="shared" si="22"/>
        <v>2.7839999999999998</v>
      </c>
      <c r="F75">
        <f t="shared" si="24"/>
        <v>4.3430400000000011</v>
      </c>
      <c r="G75">
        <f t="shared" si="25"/>
        <v>2.223040000000001</v>
      </c>
      <c r="H75">
        <v>0.59299999999999997</v>
      </c>
      <c r="I75">
        <f t="shared" si="23"/>
        <v>3.7488026981450271</v>
      </c>
      <c r="N75">
        <v>-1.8326561043802432E-2</v>
      </c>
      <c r="O75">
        <v>0</v>
      </c>
    </row>
    <row r="76" spans="1:15">
      <c r="A76">
        <v>9</v>
      </c>
      <c r="C76">
        <v>4.45</v>
      </c>
      <c r="D76">
        <v>93</v>
      </c>
      <c r="E76">
        <f t="shared" si="22"/>
        <v>2.2320000000000002</v>
      </c>
      <c r="F76">
        <f t="shared" si="24"/>
        <v>2.6784000000000008</v>
      </c>
      <c r="G76">
        <f t="shared" si="25"/>
        <v>0.55840000000000067</v>
      </c>
      <c r="H76">
        <v>0.66900000000000004</v>
      </c>
      <c r="I76">
        <f t="shared" si="23"/>
        <v>0.83467862481315491</v>
      </c>
      <c r="N76">
        <v>3.7394856146469063E-2</v>
      </c>
      <c r="O76">
        <f t="shared" si="26"/>
        <v>5.5896645958847628E-2</v>
      </c>
    </row>
    <row r="77" spans="1:15">
      <c r="A77" t="s">
        <v>35</v>
      </c>
      <c r="C77">
        <v>4.68</v>
      </c>
      <c r="D77">
        <v>91</v>
      </c>
      <c r="E77">
        <f t="shared" si="22"/>
        <v>2.1840000000000002</v>
      </c>
      <c r="F77">
        <f t="shared" si="24"/>
        <v>2.1184800000000017</v>
      </c>
    </row>
    <row r="79" spans="1:15">
      <c r="C79">
        <f t="shared" ref="C79:L79" si="27">+AVERAGE(C68:C77)</f>
        <v>3.8099999999999996</v>
      </c>
      <c r="D79">
        <f t="shared" si="27"/>
        <v>102.8</v>
      </c>
      <c r="E79">
        <f t="shared" si="27"/>
        <v>2.4671999999999996</v>
      </c>
      <c r="F79">
        <f t="shared" si="27"/>
        <v>4.5767760000000006</v>
      </c>
      <c r="G79">
        <f t="shared" si="27"/>
        <v>2.7299200000000008</v>
      </c>
      <c r="H79">
        <f t="shared" si="27"/>
        <v>0.83922222222222209</v>
      </c>
      <c r="I79">
        <f t="shared" si="27"/>
        <v>3.2226910710781551</v>
      </c>
      <c r="J79" t="e">
        <f t="shared" si="27"/>
        <v>#DIV/0!</v>
      </c>
      <c r="K79" t="e">
        <f t="shared" si="27"/>
        <v>#DIV/0!</v>
      </c>
      <c r="L79" t="e">
        <f t="shared" si="27"/>
        <v>#DIV/0!</v>
      </c>
      <c r="O79">
        <f>+AVERAGE(O68:O77)</f>
        <v>5.0388140489418934E-2</v>
      </c>
    </row>
    <row r="86" spans="1:15">
      <c r="A86" t="s">
        <v>42</v>
      </c>
      <c r="C86" t="s">
        <v>43</v>
      </c>
      <c r="N86" t="s">
        <v>18</v>
      </c>
    </row>
    <row r="87" spans="1:15">
      <c r="B87" t="s">
        <v>13</v>
      </c>
      <c r="D87" t="s">
        <v>14</v>
      </c>
      <c r="E87" t="s">
        <v>14</v>
      </c>
      <c r="F87" t="s">
        <v>15</v>
      </c>
      <c r="H87" t="s">
        <v>16</v>
      </c>
      <c r="I87" t="s">
        <v>10</v>
      </c>
      <c r="K87" t="s">
        <v>17</v>
      </c>
      <c r="L87" t="s">
        <v>10</v>
      </c>
      <c r="O87" t="s">
        <v>19</v>
      </c>
    </row>
    <row r="88" spans="1:15">
      <c r="A88" t="s">
        <v>24</v>
      </c>
      <c r="B88" t="s">
        <v>25</v>
      </c>
      <c r="C88" t="s">
        <v>37</v>
      </c>
      <c r="D88" t="s">
        <v>27</v>
      </c>
      <c r="E88" t="s">
        <v>28</v>
      </c>
      <c r="F88" t="s">
        <v>29</v>
      </c>
      <c r="G88" t="s">
        <v>30</v>
      </c>
      <c r="H88" t="s">
        <v>31</v>
      </c>
      <c r="I88" t="s">
        <v>32</v>
      </c>
      <c r="K88" t="s">
        <v>31</v>
      </c>
      <c r="L88" t="s">
        <v>33</v>
      </c>
      <c r="O88" t="s">
        <v>34</v>
      </c>
    </row>
    <row r="89" spans="1:15">
      <c r="A89">
        <v>1</v>
      </c>
      <c r="B89">
        <v>5.73</v>
      </c>
      <c r="C89">
        <v>3.22</v>
      </c>
      <c r="D89">
        <v>102</v>
      </c>
      <c r="E89">
        <f t="shared" ref="E89:E98" si="28">+(((D89/50)*60)*20)/1000</f>
        <v>2.448</v>
      </c>
      <c r="F89">
        <f>(5.75-C89)*E89</f>
        <v>6.1934399999999998</v>
      </c>
      <c r="G89">
        <f>+F89-1.96</f>
        <v>4.2334399999999999</v>
      </c>
      <c r="H89">
        <v>1.27</v>
      </c>
      <c r="I89">
        <f t="shared" ref="I89:I97" si="29">+G89/H89</f>
        <v>3.3334173228346455</v>
      </c>
      <c r="N89">
        <v>0.14687614738202975</v>
      </c>
      <c r="O89">
        <f>(N89/H89)</f>
        <v>0.11565050974962973</v>
      </c>
    </row>
    <row r="90" spans="1:15">
      <c r="A90">
        <v>2</v>
      </c>
      <c r="B90">
        <v>5.85</v>
      </c>
      <c r="C90">
        <v>3.29</v>
      </c>
      <c r="D90">
        <v>98</v>
      </c>
      <c r="E90">
        <f t="shared" si="28"/>
        <v>2.3519999999999999</v>
      </c>
      <c r="F90">
        <f t="shared" ref="F90:F98" si="30">(5.75-C90)*E90</f>
        <v>5.78592</v>
      </c>
      <c r="G90">
        <f t="shared" ref="G90:G97" si="31">+F90-1.96</f>
        <v>3.82592</v>
      </c>
      <c r="H90">
        <v>1.145</v>
      </c>
      <c r="I90">
        <f t="shared" si="29"/>
        <v>3.3414148471615719</v>
      </c>
      <c r="N90">
        <v>0.11073375196232341</v>
      </c>
      <c r="O90">
        <f t="shared" ref="O90:O97" si="32">(N90/H90)</f>
        <v>9.6710700403775898E-2</v>
      </c>
    </row>
    <row r="91" spans="1:15">
      <c r="A91">
        <v>3</v>
      </c>
      <c r="B91">
        <v>5.72</v>
      </c>
      <c r="C91">
        <v>3.6</v>
      </c>
      <c r="D91">
        <v>108</v>
      </c>
      <c r="E91">
        <f t="shared" si="28"/>
        <v>2.5920000000000005</v>
      </c>
      <c r="F91">
        <f t="shared" si="30"/>
        <v>5.5728000000000009</v>
      </c>
      <c r="G91">
        <f t="shared" si="31"/>
        <v>3.6128000000000009</v>
      </c>
      <c r="H91">
        <v>0.94199999999999995</v>
      </c>
      <c r="I91">
        <f t="shared" si="29"/>
        <v>3.8352441613588124</v>
      </c>
      <c r="N91">
        <v>0.11247106227106227</v>
      </c>
      <c r="O91">
        <f t="shared" si="32"/>
        <v>0.11939603213488564</v>
      </c>
    </row>
    <row r="92" spans="1:15">
      <c r="A92">
        <v>4</v>
      </c>
      <c r="B92">
        <v>5.62</v>
      </c>
      <c r="C92">
        <v>3.74</v>
      </c>
      <c r="D92">
        <v>102</v>
      </c>
      <c r="E92">
        <f t="shared" si="28"/>
        <v>2.448</v>
      </c>
      <c r="F92">
        <f t="shared" si="30"/>
        <v>4.9204799999999995</v>
      </c>
      <c r="G92">
        <f t="shared" si="31"/>
        <v>2.9604799999999996</v>
      </c>
      <c r="H92">
        <v>0.72499999999999998</v>
      </c>
      <c r="I92">
        <f t="shared" si="29"/>
        <v>4.0834206896551724</v>
      </c>
      <c r="N92">
        <v>6.4953070458952822E-2</v>
      </c>
      <c r="O92">
        <f t="shared" si="32"/>
        <v>8.9590442012348726E-2</v>
      </c>
    </row>
    <row r="93" spans="1:15">
      <c r="A93">
        <v>5</v>
      </c>
      <c r="B93">
        <v>5.82</v>
      </c>
      <c r="C93">
        <v>3.66</v>
      </c>
      <c r="D93">
        <v>125</v>
      </c>
      <c r="E93">
        <f t="shared" si="28"/>
        <v>3</v>
      </c>
      <c r="F93">
        <f t="shared" si="30"/>
        <v>6.27</v>
      </c>
      <c r="G93">
        <f t="shared" si="31"/>
        <v>4.3099999999999996</v>
      </c>
      <c r="H93">
        <v>0.77800000000000002</v>
      </c>
      <c r="I93">
        <f t="shared" si="29"/>
        <v>5.5398457583547547</v>
      </c>
      <c r="N93">
        <v>1.860167032967032E-2</v>
      </c>
      <c r="O93">
        <f t="shared" si="32"/>
        <v>2.3909601966157223E-2</v>
      </c>
    </row>
    <row r="94" spans="1:15">
      <c r="A94">
        <v>6</v>
      </c>
      <c r="B94">
        <v>5.78</v>
      </c>
      <c r="C94">
        <v>3.67</v>
      </c>
      <c r="D94">
        <v>95</v>
      </c>
      <c r="E94">
        <f t="shared" si="28"/>
        <v>2.2799999999999998</v>
      </c>
      <c r="F94">
        <f t="shared" si="30"/>
        <v>4.7423999999999999</v>
      </c>
      <c r="G94">
        <f t="shared" si="31"/>
        <v>2.7824</v>
      </c>
      <c r="H94">
        <v>0.77100000000000002</v>
      </c>
      <c r="I94">
        <f t="shared" si="29"/>
        <v>3.6088197146562906</v>
      </c>
      <c r="N94">
        <v>-1.0223481781376512E-2</v>
      </c>
      <c r="O94">
        <v>0</v>
      </c>
    </row>
    <row r="95" spans="1:15">
      <c r="A95">
        <v>7</v>
      </c>
      <c r="B95" t="s">
        <v>5</v>
      </c>
      <c r="C95">
        <v>4.5199999999999996</v>
      </c>
      <c r="D95">
        <v>98</v>
      </c>
      <c r="E95">
        <f t="shared" si="28"/>
        <v>2.3519999999999999</v>
      </c>
      <c r="F95">
        <f t="shared" si="30"/>
        <v>2.8929600000000009</v>
      </c>
      <c r="G95">
        <f t="shared" si="31"/>
        <v>0.9329600000000009</v>
      </c>
      <c r="H95">
        <v>0.66</v>
      </c>
      <c r="I95">
        <f t="shared" si="29"/>
        <v>1.4135757575757588</v>
      </c>
      <c r="N95">
        <v>8.6200224265530381E-2</v>
      </c>
      <c r="O95">
        <f t="shared" si="32"/>
        <v>0.13060640040231875</v>
      </c>
    </row>
    <row r="96" spans="1:15">
      <c r="A96">
        <v>8</v>
      </c>
      <c r="B96">
        <f>+AVERAGE(B89:B94)</f>
        <v>5.7533333333333339</v>
      </c>
      <c r="C96">
        <v>4.24</v>
      </c>
      <c r="D96">
        <v>116</v>
      </c>
      <c r="E96">
        <f t="shared" si="28"/>
        <v>2.7839999999999998</v>
      </c>
      <c r="F96">
        <f t="shared" si="30"/>
        <v>4.2038399999999987</v>
      </c>
      <c r="G96">
        <f t="shared" si="31"/>
        <v>2.2438399999999987</v>
      </c>
      <c r="H96">
        <v>0.59299999999999997</v>
      </c>
      <c r="I96">
        <f t="shared" si="29"/>
        <v>3.78387858347386</v>
      </c>
      <c r="N96">
        <v>1.0534028040924587E-2</v>
      </c>
      <c r="O96">
        <f t="shared" si="32"/>
        <v>1.7763959596837416E-2</v>
      </c>
    </row>
    <row r="97" spans="1:15">
      <c r="A97">
        <v>9</v>
      </c>
      <c r="C97">
        <v>4.6399999999999997</v>
      </c>
      <c r="D97">
        <v>93</v>
      </c>
      <c r="E97">
        <f t="shared" si="28"/>
        <v>2.2320000000000002</v>
      </c>
      <c r="F97">
        <f t="shared" si="30"/>
        <v>2.4775200000000011</v>
      </c>
      <c r="G97">
        <f t="shared" si="31"/>
        <v>0.51752000000000109</v>
      </c>
      <c r="H97">
        <v>0.66900000000000004</v>
      </c>
      <c r="I97">
        <f t="shared" si="29"/>
        <v>0.77357249626308078</v>
      </c>
      <c r="N97">
        <v>1.7047855370435887E-3</v>
      </c>
      <c r="O97">
        <f t="shared" si="32"/>
        <v>2.5482593976735258E-3</v>
      </c>
    </row>
    <row r="98" spans="1:15">
      <c r="A98" t="s">
        <v>35</v>
      </c>
      <c r="C98">
        <v>4.8499999999999996</v>
      </c>
      <c r="D98">
        <v>91</v>
      </c>
      <c r="E98">
        <f t="shared" si="28"/>
        <v>2.1840000000000002</v>
      </c>
      <c r="F98">
        <f t="shared" si="30"/>
        <v>1.9656000000000009</v>
      </c>
    </row>
    <row r="100" spans="1:15">
      <c r="C100">
        <f t="shared" ref="C100:O100" si="33">+AVERAGE(C89:C98)</f>
        <v>3.9430000000000001</v>
      </c>
      <c r="D100">
        <f t="shared" si="33"/>
        <v>102.8</v>
      </c>
      <c r="E100">
        <f t="shared" si="33"/>
        <v>2.4671999999999996</v>
      </c>
      <c r="F100">
        <f t="shared" si="33"/>
        <v>4.5024959999999998</v>
      </c>
      <c r="G100">
        <f t="shared" si="33"/>
        <v>2.8243733333333334</v>
      </c>
      <c r="H100">
        <f t="shared" si="33"/>
        <v>0.83922222222222209</v>
      </c>
      <c r="I100">
        <f t="shared" si="33"/>
        <v>3.3014654812593283</v>
      </c>
      <c r="J100" t="e">
        <f t="shared" si="33"/>
        <v>#DIV/0!</v>
      </c>
      <c r="K100" t="e">
        <f t="shared" si="33"/>
        <v>#DIV/0!</v>
      </c>
      <c r="L100" t="e">
        <f t="shared" si="33"/>
        <v>#DIV/0!</v>
      </c>
      <c r="N100">
        <f t="shared" si="33"/>
        <v>6.020569538512896E-2</v>
      </c>
      <c r="O100">
        <f t="shared" si="33"/>
        <v>6.6241767295958556E-2</v>
      </c>
    </row>
    <row r="106" spans="1:15">
      <c r="A106" t="s">
        <v>44</v>
      </c>
      <c r="C106" t="s">
        <v>45</v>
      </c>
    </row>
    <row r="107" spans="1:15">
      <c r="B107" t="s">
        <v>13</v>
      </c>
      <c r="D107" t="s">
        <v>14</v>
      </c>
      <c r="E107" t="s">
        <v>14</v>
      </c>
      <c r="F107" t="s">
        <v>15</v>
      </c>
      <c r="H107" t="s">
        <v>16</v>
      </c>
      <c r="I107" t="s">
        <v>10</v>
      </c>
      <c r="K107" t="s">
        <v>17</v>
      </c>
      <c r="L107" t="s">
        <v>10</v>
      </c>
      <c r="O107" t="s">
        <v>19</v>
      </c>
    </row>
    <row r="108" spans="1:15">
      <c r="A108" t="s">
        <v>24</v>
      </c>
      <c r="B108" t="s">
        <v>25</v>
      </c>
      <c r="C108" t="s">
        <v>37</v>
      </c>
      <c r="D108" t="s">
        <v>27</v>
      </c>
      <c r="E108" t="s">
        <v>28</v>
      </c>
      <c r="F108" t="s">
        <v>29</v>
      </c>
      <c r="G108" t="s">
        <v>30</v>
      </c>
      <c r="H108" t="s">
        <v>31</v>
      </c>
      <c r="I108" t="s">
        <v>32</v>
      </c>
      <c r="K108" t="s">
        <v>31</v>
      </c>
      <c r="L108" t="s">
        <v>33</v>
      </c>
      <c r="O108" t="s">
        <v>34</v>
      </c>
    </row>
    <row r="109" spans="1:15">
      <c r="A109">
        <v>1</v>
      </c>
      <c r="B109">
        <v>5.77</v>
      </c>
      <c r="C109">
        <v>2.97</v>
      </c>
      <c r="D109">
        <v>102</v>
      </c>
      <c r="E109">
        <f t="shared" ref="E109:E118" si="34">+(((D109/50)*60)*20)/1000</f>
        <v>2.448</v>
      </c>
      <c r="F109">
        <f>(5.78-C109)*E109</f>
        <v>6.8788799999999997</v>
      </c>
      <c r="G109">
        <f>+F109-2.07</f>
        <v>4.8088800000000003</v>
      </c>
      <c r="H109">
        <v>1.27</v>
      </c>
      <c r="I109">
        <f t="shared" ref="I109:I117" si="35">+G109/H109</f>
        <v>3.7865196850393703</v>
      </c>
      <c r="O109" t="s">
        <v>5</v>
      </c>
    </row>
    <row r="110" spans="1:15">
      <c r="A110">
        <v>2</v>
      </c>
      <c r="B110">
        <v>5.7</v>
      </c>
      <c r="C110">
        <v>3.33</v>
      </c>
      <c r="D110">
        <v>98</v>
      </c>
      <c r="E110">
        <f t="shared" si="34"/>
        <v>2.3519999999999999</v>
      </c>
      <c r="F110">
        <f t="shared" ref="F110:F118" si="36">(5.78-C110)*E110</f>
        <v>5.7624000000000004</v>
      </c>
      <c r="G110">
        <f t="shared" ref="G110:G117" si="37">+F110-2.07</f>
        <v>3.6924000000000006</v>
      </c>
      <c r="H110">
        <v>1.145</v>
      </c>
      <c r="I110">
        <f t="shared" si="35"/>
        <v>3.224803493449782</v>
      </c>
      <c r="O110" t="s">
        <v>5</v>
      </c>
    </row>
    <row r="111" spans="1:15">
      <c r="A111">
        <v>3</v>
      </c>
      <c r="B111">
        <v>5.75</v>
      </c>
      <c r="C111">
        <v>3.38</v>
      </c>
      <c r="D111">
        <v>108</v>
      </c>
      <c r="E111">
        <f t="shared" si="34"/>
        <v>2.5920000000000005</v>
      </c>
      <c r="F111">
        <f t="shared" si="36"/>
        <v>6.2208000000000023</v>
      </c>
      <c r="G111">
        <f t="shared" si="37"/>
        <v>4.150800000000002</v>
      </c>
      <c r="H111">
        <v>0.94199999999999995</v>
      </c>
      <c r="I111">
        <f t="shared" si="35"/>
        <v>4.4063694267515947</v>
      </c>
      <c r="O111" t="s">
        <v>5</v>
      </c>
    </row>
    <row r="112" spans="1:15">
      <c r="A112">
        <v>4</v>
      </c>
      <c r="B112">
        <v>5.82</v>
      </c>
      <c r="C112">
        <v>3.71</v>
      </c>
      <c r="D112">
        <v>102</v>
      </c>
      <c r="E112">
        <f t="shared" si="34"/>
        <v>2.448</v>
      </c>
      <c r="F112">
        <f t="shared" si="36"/>
        <v>5.0673600000000008</v>
      </c>
      <c r="G112">
        <f t="shared" si="37"/>
        <v>2.9973600000000009</v>
      </c>
      <c r="H112">
        <v>0.72499999999999998</v>
      </c>
      <c r="I112">
        <f t="shared" si="35"/>
        <v>4.1342896551724149</v>
      </c>
      <c r="O112" t="s">
        <v>5</v>
      </c>
    </row>
    <row r="113" spans="1:15">
      <c r="A113">
        <v>5</v>
      </c>
      <c r="B113">
        <v>5.82</v>
      </c>
      <c r="C113">
        <v>3.78</v>
      </c>
      <c r="D113">
        <v>125</v>
      </c>
      <c r="E113">
        <f t="shared" si="34"/>
        <v>3</v>
      </c>
      <c r="F113">
        <f t="shared" si="36"/>
        <v>6.0000000000000018</v>
      </c>
      <c r="G113">
        <f t="shared" si="37"/>
        <v>3.9300000000000019</v>
      </c>
      <c r="H113">
        <v>0.77800000000000002</v>
      </c>
      <c r="I113">
        <f t="shared" si="35"/>
        <v>5.0514138817480747</v>
      </c>
      <c r="O113" t="s">
        <v>5</v>
      </c>
    </row>
    <row r="114" spans="1:15">
      <c r="A114">
        <v>6</v>
      </c>
      <c r="B114">
        <v>5.8</v>
      </c>
      <c r="C114">
        <v>3.81</v>
      </c>
      <c r="D114">
        <v>95</v>
      </c>
      <c r="E114">
        <f t="shared" si="34"/>
        <v>2.2799999999999998</v>
      </c>
      <c r="F114">
        <f t="shared" si="36"/>
        <v>4.4916</v>
      </c>
      <c r="G114">
        <f t="shared" si="37"/>
        <v>2.4216000000000002</v>
      </c>
      <c r="H114">
        <v>0.77100000000000002</v>
      </c>
      <c r="I114">
        <f t="shared" si="35"/>
        <v>3.1408560311284051</v>
      </c>
      <c r="O114" t="s">
        <v>5</v>
      </c>
    </row>
    <row r="115" spans="1:15">
      <c r="A115">
        <v>7</v>
      </c>
      <c r="B115" t="s">
        <v>5</v>
      </c>
      <c r="C115">
        <v>4.2699999999999996</v>
      </c>
      <c r="D115">
        <v>98</v>
      </c>
      <c r="E115">
        <f t="shared" si="34"/>
        <v>2.3519999999999999</v>
      </c>
      <c r="F115">
        <f t="shared" si="36"/>
        <v>3.5515200000000013</v>
      </c>
      <c r="G115">
        <f t="shared" si="37"/>
        <v>1.4815200000000015</v>
      </c>
      <c r="H115">
        <v>0.66</v>
      </c>
      <c r="I115">
        <f t="shared" si="35"/>
        <v>2.2447272727272747</v>
      </c>
      <c r="O115" t="s">
        <v>5</v>
      </c>
    </row>
    <row r="116" spans="1:15">
      <c r="A116">
        <v>8</v>
      </c>
      <c r="B116">
        <f>+AVERAGE(B109:B114)</f>
        <v>5.7766666666666664</v>
      </c>
      <c r="C116">
        <v>4.22</v>
      </c>
      <c r="D116">
        <v>116</v>
      </c>
      <c r="E116">
        <f t="shared" si="34"/>
        <v>2.7839999999999998</v>
      </c>
      <c r="F116">
        <f t="shared" si="36"/>
        <v>4.3430400000000011</v>
      </c>
      <c r="G116">
        <f t="shared" si="37"/>
        <v>2.2730400000000013</v>
      </c>
      <c r="H116">
        <v>0.59299999999999997</v>
      </c>
      <c r="I116">
        <f t="shared" si="35"/>
        <v>3.8331197301855</v>
      </c>
      <c r="O116" t="s">
        <v>5</v>
      </c>
    </row>
    <row r="117" spans="1:15">
      <c r="A117">
        <v>9</v>
      </c>
      <c r="C117">
        <v>4.68</v>
      </c>
      <c r="D117">
        <v>93</v>
      </c>
      <c r="E117">
        <f t="shared" si="34"/>
        <v>2.2320000000000002</v>
      </c>
      <c r="F117">
        <f t="shared" si="36"/>
        <v>2.4552000000000014</v>
      </c>
      <c r="G117">
        <f t="shared" si="37"/>
        <v>0.38520000000000154</v>
      </c>
      <c r="H117">
        <v>0.66900000000000004</v>
      </c>
      <c r="I117">
        <f t="shared" si="35"/>
        <v>0.57578475336323098</v>
      </c>
      <c r="N117" t="s">
        <v>18</v>
      </c>
      <c r="O117" t="s">
        <v>5</v>
      </c>
    </row>
    <row r="118" spans="1:15">
      <c r="A118" t="s">
        <v>35</v>
      </c>
      <c r="C118">
        <v>4.83</v>
      </c>
      <c r="D118">
        <v>91</v>
      </c>
      <c r="E118">
        <f t="shared" si="34"/>
        <v>2.1840000000000002</v>
      </c>
      <c r="F118">
        <f t="shared" si="36"/>
        <v>2.0748000000000006</v>
      </c>
    </row>
    <row r="120" spans="1:15">
      <c r="C120">
        <f t="shared" ref="C120:L120" si="38">+AVERAGE(C109:C118)</f>
        <v>3.8979999999999997</v>
      </c>
      <c r="D120">
        <f t="shared" si="38"/>
        <v>102.8</v>
      </c>
      <c r="E120">
        <f t="shared" si="38"/>
        <v>2.4671999999999996</v>
      </c>
      <c r="F120">
        <f t="shared" si="38"/>
        <v>4.6845600000000012</v>
      </c>
      <c r="G120">
        <f t="shared" si="38"/>
        <v>2.9045333333333345</v>
      </c>
      <c r="H120">
        <f t="shared" si="38"/>
        <v>0.83922222222222209</v>
      </c>
      <c r="I120">
        <f t="shared" si="38"/>
        <v>3.3775426588406274</v>
      </c>
      <c r="J120" t="e">
        <f t="shared" si="38"/>
        <v>#DIV/0!</v>
      </c>
      <c r="K120" t="e">
        <f t="shared" si="38"/>
        <v>#DIV/0!</v>
      </c>
      <c r="L120" t="e">
        <f t="shared" si="38"/>
        <v>#DIV/0!</v>
      </c>
      <c r="N120">
        <v>-3.8022755417956661E-2</v>
      </c>
      <c r="O120" t="e">
        <f>+AVERAGE(O109:O118)</f>
        <v>#DIV/0!</v>
      </c>
    </row>
    <row r="121" spans="1:15">
      <c r="N121">
        <v>-9.2750080558539214E-2</v>
      </c>
    </row>
    <row r="122" spans="1:15">
      <c r="N122">
        <v>-0.12649605263157893</v>
      </c>
    </row>
    <row r="123" spans="1:15">
      <c r="N123">
        <v>-0.13779249226006191</v>
      </c>
    </row>
    <row r="124" spans="1:15">
      <c r="N124">
        <v>-0.11617526315789473</v>
      </c>
    </row>
    <row r="125" spans="1:15">
      <c r="A125" t="s">
        <v>46</v>
      </c>
      <c r="C125" t="s">
        <v>47</v>
      </c>
      <c r="N125">
        <v>-0.13234335180055401</v>
      </c>
    </row>
    <row r="126" spans="1:15">
      <c r="B126" t="s">
        <v>13</v>
      </c>
      <c r="D126" t="s">
        <v>14</v>
      </c>
      <c r="E126" t="s">
        <v>14</v>
      </c>
      <c r="F126" t="s">
        <v>15</v>
      </c>
      <c r="H126" t="s">
        <v>16</v>
      </c>
      <c r="I126" t="s">
        <v>10</v>
      </c>
      <c r="K126" t="s">
        <v>17</v>
      </c>
      <c r="L126" t="s">
        <v>10</v>
      </c>
      <c r="N126">
        <v>-0.1246935553168636</v>
      </c>
      <c r="O126" t="s">
        <v>19</v>
      </c>
    </row>
    <row r="127" spans="1:15">
      <c r="A127" t="s">
        <v>24</v>
      </c>
      <c r="B127" t="s">
        <v>25</v>
      </c>
      <c r="C127" t="s">
        <v>37</v>
      </c>
      <c r="D127" t="s">
        <v>27</v>
      </c>
      <c r="E127" t="s">
        <v>28</v>
      </c>
      <c r="F127" t="s">
        <v>29</v>
      </c>
      <c r="G127" t="s">
        <v>30</v>
      </c>
      <c r="H127" t="s">
        <v>31</v>
      </c>
      <c r="I127" t="s">
        <v>32</v>
      </c>
      <c r="K127" t="s">
        <v>31</v>
      </c>
      <c r="L127" t="s">
        <v>33</v>
      </c>
      <c r="N127">
        <v>-0.14437490925589838</v>
      </c>
      <c r="O127" t="s">
        <v>34</v>
      </c>
    </row>
    <row r="128" spans="1:15">
      <c r="A128">
        <v>1</v>
      </c>
      <c r="B128">
        <v>5.67</v>
      </c>
      <c r="C128">
        <v>3.14</v>
      </c>
      <c r="D128">
        <v>102</v>
      </c>
      <c r="E128">
        <f t="shared" ref="E128:E137" si="39">+(((D128/50)*60)*20)/1000</f>
        <v>2.448</v>
      </c>
      <c r="F128">
        <f>(5.7-C128)*E128</f>
        <v>6.2668800000000005</v>
      </c>
      <c r="G128">
        <f>+F128-1.74</f>
        <v>4.5268800000000002</v>
      </c>
      <c r="H128">
        <v>1.27</v>
      </c>
      <c r="I128">
        <f t="shared" ref="I128:I136" si="40">+G128/H128</f>
        <v>3.5644724409448822</v>
      </c>
      <c r="N128">
        <v>-0.13944915110356537</v>
      </c>
      <c r="O128" t="e">
        <f>(#REF!/H128)</f>
        <v>#REF!</v>
      </c>
    </row>
    <row r="129" spans="1:15">
      <c r="A129">
        <v>2</v>
      </c>
      <c r="B129">
        <v>5.68</v>
      </c>
      <c r="C129">
        <v>3.17</v>
      </c>
      <c r="D129">
        <v>98</v>
      </c>
      <c r="E129">
        <f t="shared" si="39"/>
        <v>2.3519999999999999</v>
      </c>
      <c r="F129">
        <f t="shared" ref="F129:F137" si="41">(5.7-C129)*E129</f>
        <v>5.9505600000000003</v>
      </c>
      <c r="G129">
        <f t="shared" ref="G129:G136" si="42">+F129-1.74</f>
        <v>4.2105600000000001</v>
      </c>
      <c r="H129">
        <v>1.145</v>
      </c>
      <c r="I129">
        <f t="shared" si="40"/>
        <v>3.6773449781659391</v>
      </c>
      <c r="O129" t="e">
        <f>(#REF!/H129)</f>
        <v>#REF!</v>
      </c>
    </row>
    <row r="130" spans="1:15">
      <c r="A130">
        <v>3</v>
      </c>
      <c r="B130">
        <v>5.65</v>
      </c>
      <c r="C130">
        <v>3.42</v>
      </c>
      <c r="D130">
        <v>108</v>
      </c>
      <c r="E130">
        <f t="shared" si="39"/>
        <v>2.5920000000000005</v>
      </c>
      <c r="F130">
        <f t="shared" si="41"/>
        <v>5.9097600000000021</v>
      </c>
      <c r="G130">
        <f t="shared" si="42"/>
        <v>4.1697600000000019</v>
      </c>
      <c r="H130">
        <v>0.94199999999999995</v>
      </c>
      <c r="I130">
        <f t="shared" si="40"/>
        <v>4.4264968152866269</v>
      </c>
      <c r="O130" t="e">
        <f>(#REF!/H130)</f>
        <v>#REF!</v>
      </c>
    </row>
    <row r="131" spans="1:15">
      <c r="A131">
        <v>4</v>
      </c>
      <c r="B131">
        <v>5.83</v>
      </c>
      <c r="C131">
        <v>3.58</v>
      </c>
      <c r="D131">
        <v>102</v>
      </c>
      <c r="E131">
        <f t="shared" si="39"/>
        <v>2.448</v>
      </c>
      <c r="F131">
        <f t="shared" si="41"/>
        <v>5.1897600000000006</v>
      </c>
      <c r="G131">
        <f t="shared" si="42"/>
        <v>3.4497600000000004</v>
      </c>
      <c r="H131">
        <v>0.72499999999999998</v>
      </c>
      <c r="I131">
        <f t="shared" si="40"/>
        <v>4.7582896551724145</v>
      </c>
      <c r="O131" t="e">
        <f>(#REF!/H131)</f>
        <v>#REF!</v>
      </c>
    </row>
    <row r="132" spans="1:15">
      <c r="A132">
        <v>5</v>
      </c>
      <c r="B132">
        <v>5.7</v>
      </c>
      <c r="C132">
        <v>3.75</v>
      </c>
      <c r="D132">
        <v>125</v>
      </c>
      <c r="E132">
        <f t="shared" si="39"/>
        <v>3</v>
      </c>
      <c r="F132">
        <f t="shared" si="41"/>
        <v>5.8500000000000005</v>
      </c>
      <c r="G132">
        <f t="shared" si="42"/>
        <v>4.1100000000000003</v>
      </c>
      <c r="H132">
        <v>0.77800000000000002</v>
      </c>
      <c r="I132">
        <f t="shared" si="40"/>
        <v>5.2827763496143962</v>
      </c>
      <c r="O132" t="e">
        <f>(#REF!/H132)</f>
        <v>#REF!</v>
      </c>
    </row>
    <row r="133" spans="1:15">
      <c r="A133">
        <v>6</v>
      </c>
      <c r="B133">
        <v>5.66</v>
      </c>
      <c r="C133">
        <v>3.75</v>
      </c>
      <c r="D133">
        <v>95</v>
      </c>
      <c r="E133">
        <f t="shared" si="39"/>
        <v>2.2799999999999998</v>
      </c>
      <c r="F133">
        <f t="shared" si="41"/>
        <v>4.4459999999999997</v>
      </c>
      <c r="G133">
        <f t="shared" si="42"/>
        <v>2.7059999999999995</v>
      </c>
      <c r="H133">
        <v>0.77100000000000002</v>
      </c>
      <c r="I133">
        <f t="shared" si="40"/>
        <v>3.509727626459143</v>
      </c>
      <c r="O133" t="e">
        <f>(#REF!/H133)</f>
        <v>#REF!</v>
      </c>
    </row>
    <row r="134" spans="1:15">
      <c r="A134">
        <v>7</v>
      </c>
      <c r="B134" t="s">
        <v>5</v>
      </c>
      <c r="C134">
        <v>4.0999999999999996</v>
      </c>
      <c r="D134">
        <v>98</v>
      </c>
      <c r="E134">
        <f t="shared" si="39"/>
        <v>2.3519999999999999</v>
      </c>
      <c r="F134">
        <f t="shared" si="41"/>
        <v>3.7632000000000012</v>
      </c>
      <c r="G134">
        <f t="shared" si="42"/>
        <v>2.023200000000001</v>
      </c>
      <c r="H134">
        <v>0.66</v>
      </c>
      <c r="I134">
        <f t="shared" si="40"/>
        <v>3.0654545454545468</v>
      </c>
      <c r="O134" t="e">
        <f>(#REF!/H134)</f>
        <v>#REF!</v>
      </c>
    </row>
    <row r="135" spans="1:15">
      <c r="A135">
        <v>8</v>
      </c>
      <c r="B135">
        <f>+AVERAGE(B128:B133)</f>
        <v>5.6983333333333333</v>
      </c>
      <c r="C135">
        <v>4.21</v>
      </c>
      <c r="D135">
        <v>116</v>
      </c>
      <c r="E135">
        <f t="shared" si="39"/>
        <v>2.7839999999999998</v>
      </c>
      <c r="F135">
        <f t="shared" si="41"/>
        <v>4.1481600000000007</v>
      </c>
      <c r="G135">
        <f t="shared" si="42"/>
        <v>2.4081600000000005</v>
      </c>
      <c r="H135">
        <v>0.59299999999999997</v>
      </c>
      <c r="I135">
        <f t="shared" si="40"/>
        <v>4.0609780775716704</v>
      </c>
      <c r="N135">
        <v>0.29713400122674299</v>
      </c>
      <c r="O135">
        <f t="shared" ref="O135:O136" si="43">(N135/H135)</f>
        <v>0.50106914203497976</v>
      </c>
    </row>
    <row r="136" spans="1:15">
      <c r="A136">
        <v>9</v>
      </c>
      <c r="C136">
        <v>4.43</v>
      </c>
      <c r="D136">
        <v>93</v>
      </c>
      <c r="E136">
        <f t="shared" si="39"/>
        <v>2.2320000000000002</v>
      </c>
      <c r="F136">
        <f t="shared" si="41"/>
        <v>2.8346400000000012</v>
      </c>
      <c r="G136">
        <f t="shared" si="42"/>
        <v>1.0946400000000012</v>
      </c>
      <c r="H136">
        <v>0.66900000000000004</v>
      </c>
      <c r="I136">
        <f t="shared" si="40"/>
        <v>1.6362331838565038</v>
      </c>
      <c r="N136">
        <v>0.14851335726431131</v>
      </c>
      <c r="O136">
        <f t="shared" si="43"/>
        <v>0.2219930601858166</v>
      </c>
    </row>
    <row r="137" spans="1:15">
      <c r="A137" t="s">
        <v>35</v>
      </c>
      <c r="C137">
        <v>4.9000000000000004</v>
      </c>
      <c r="D137">
        <v>91</v>
      </c>
      <c r="E137">
        <f t="shared" si="39"/>
        <v>2.1840000000000002</v>
      </c>
      <c r="F137">
        <f t="shared" si="41"/>
        <v>1.7471999999999996</v>
      </c>
    </row>
    <row r="139" spans="1:15">
      <c r="C139">
        <f t="shared" ref="C139:L139" si="44">+AVERAGE(C128:C137)</f>
        <v>3.8450000000000002</v>
      </c>
      <c r="D139">
        <f t="shared" si="44"/>
        <v>102.8</v>
      </c>
      <c r="E139">
        <f t="shared" si="44"/>
        <v>2.4671999999999996</v>
      </c>
      <c r="F139">
        <f t="shared" si="44"/>
        <v>4.6106160000000003</v>
      </c>
      <c r="G139">
        <f t="shared" si="44"/>
        <v>3.1887733333333337</v>
      </c>
      <c r="H139">
        <f t="shared" si="44"/>
        <v>0.83922222222222209</v>
      </c>
      <c r="I139">
        <f t="shared" si="44"/>
        <v>3.7757526302806803</v>
      </c>
      <c r="J139" t="e">
        <f t="shared" si="44"/>
        <v>#DIV/0!</v>
      </c>
      <c r="K139" t="e">
        <f t="shared" si="44"/>
        <v>#DIV/0!</v>
      </c>
      <c r="L139" t="e">
        <f t="shared" si="44"/>
        <v>#DIV/0!</v>
      </c>
      <c r="N139">
        <f>+AVERAGE(N135:N137)</f>
        <v>0.22282367924552715</v>
      </c>
      <c r="O139" t="e">
        <f>+AVERAGE(O128:O137)</f>
        <v>#REF!</v>
      </c>
    </row>
    <row r="144" spans="1:15">
      <c r="A144" t="s">
        <v>48</v>
      </c>
      <c r="C144" t="s">
        <v>49</v>
      </c>
    </row>
    <row r="145" spans="1:15">
      <c r="B145" t="s">
        <v>13</v>
      </c>
      <c r="D145" t="s">
        <v>14</v>
      </c>
      <c r="E145" t="s">
        <v>14</v>
      </c>
      <c r="F145" t="s">
        <v>15</v>
      </c>
      <c r="H145" t="s">
        <v>16</v>
      </c>
      <c r="I145" t="s">
        <v>10</v>
      </c>
      <c r="K145" t="s">
        <v>17</v>
      </c>
      <c r="L145" t="s">
        <v>10</v>
      </c>
      <c r="N145" t="s">
        <v>50</v>
      </c>
      <c r="O145" t="s">
        <v>19</v>
      </c>
    </row>
    <row r="146" spans="1:15">
      <c r="A146" t="s">
        <v>24</v>
      </c>
      <c r="B146" t="s">
        <v>25</v>
      </c>
      <c r="C146" t="s">
        <v>37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32</v>
      </c>
      <c r="K146" t="s">
        <v>31</v>
      </c>
      <c r="L146" t="s">
        <v>33</v>
      </c>
      <c r="O146" t="s">
        <v>34</v>
      </c>
    </row>
    <row r="147" spans="1:15">
      <c r="A147">
        <v>1</v>
      </c>
      <c r="B147">
        <v>5.89</v>
      </c>
      <c r="C147">
        <v>3.32</v>
      </c>
      <c r="D147">
        <v>102</v>
      </c>
      <c r="E147">
        <f t="shared" ref="E147:E156" si="45">+(((D147/50)*60)*20)/1000</f>
        <v>2.448</v>
      </c>
      <c r="F147">
        <f>(5.8-C147)*E147</f>
        <v>6.07104</v>
      </c>
      <c r="G147">
        <f>+F147-2.18</f>
        <v>3.8910399999999998</v>
      </c>
      <c r="H147">
        <v>1.27</v>
      </c>
      <c r="I147">
        <f t="shared" ref="I147:I155" si="46">+G147/H147</f>
        <v>3.0638110236220473</v>
      </c>
      <c r="N147">
        <v>0.2435398819854217</v>
      </c>
      <c r="O147">
        <f t="shared" ref="O147:O155" si="47">(N147/H147)</f>
        <v>0.19176368660269424</v>
      </c>
    </row>
    <row r="148" spans="1:15">
      <c r="A148">
        <v>2</v>
      </c>
      <c r="B148">
        <v>5.85</v>
      </c>
      <c r="C148">
        <v>3.36</v>
      </c>
      <c r="D148">
        <v>98</v>
      </c>
      <c r="E148">
        <f t="shared" si="45"/>
        <v>2.3519999999999999</v>
      </c>
      <c r="F148">
        <f t="shared" ref="F148:F156" si="48">(5.8-C148)*E148</f>
        <v>5.73888</v>
      </c>
      <c r="G148">
        <f t="shared" ref="G148:G155" si="49">+F148-2.18</f>
        <v>3.5588799999999998</v>
      </c>
      <c r="H148">
        <v>1.145</v>
      </c>
      <c r="I148">
        <f t="shared" si="46"/>
        <v>3.1081921397379912</v>
      </c>
      <c r="N148">
        <v>0.10683514820264867</v>
      </c>
      <c r="O148">
        <f t="shared" si="47"/>
        <v>9.3305806290522847E-2</v>
      </c>
    </row>
    <row r="149" spans="1:15">
      <c r="A149">
        <v>3</v>
      </c>
      <c r="B149">
        <v>5.75</v>
      </c>
      <c r="C149">
        <v>3.54</v>
      </c>
      <c r="D149">
        <v>108</v>
      </c>
      <c r="E149">
        <f t="shared" si="45"/>
        <v>2.5920000000000005</v>
      </c>
      <c r="F149">
        <f t="shared" si="48"/>
        <v>5.8579200000000009</v>
      </c>
      <c r="G149">
        <f t="shared" si="49"/>
        <v>3.6779200000000007</v>
      </c>
      <c r="H149">
        <v>0.94199999999999995</v>
      </c>
      <c r="I149">
        <f t="shared" si="46"/>
        <v>3.9043736730360945</v>
      </c>
      <c r="N149">
        <v>0.16923161656506194</v>
      </c>
      <c r="O149">
        <f t="shared" si="47"/>
        <v>0.1796513976274543</v>
      </c>
    </row>
    <row r="150" spans="1:15">
      <c r="A150">
        <v>4</v>
      </c>
      <c r="B150">
        <v>5.77</v>
      </c>
      <c r="C150">
        <v>3.72</v>
      </c>
      <c r="D150">
        <v>102</v>
      </c>
      <c r="E150">
        <f t="shared" si="45"/>
        <v>2.448</v>
      </c>
      <c r="F150">
        <f t="shared" si="48"/>
        <v>5.0918399999999986</v>
      </c>
      <c r="G150">
        <f t="shared" si="49"/>
        <v>2.9118399999999984</v>
      </c>
      <c r="H150">
        <v>0.72499999999999998</v>
      </c>
      <c r="I150">
        <f t="shared" si="46"/>
        <v>4.0163310344827563</v>
      </c>
      <c r="N150">
        <v>0.12117611940298502</v>
      </c>
      <c r="O150">
        <f t="shared" si="47"/>
        <v>0.16713947503860002</v>
      </c>
    </row>
    <row r="151" spans="1:15">
      <c r="A151">
        <v>5</v>
      </c>
      <c r="B151">
        <v>5.75</v>
      </c>
      <c r="C151">
        <v>3.72</v>
      </c>
      <c r="D151">
        <v>125</v>
      </c>
      <c r="E151">
        <f t="shared" si="45"/>
        <v>3</v>
      </c>
      <c r="F151">
        <f t="shared" si="48"/>
        <v>6.2399999999999984</v>
      </c>
      <c r="G151">
        <f t="shared" si="49"/>
        <v>4.0599999999999987</v>
      </c>
      <c r="H151">
        <v>0.77800000000000002</v>
      </c>
      <c r="I151">
        <f t="shared" si="46"/>
        <v>5.2185089974293044</v>
      </c>
      <c r="N151">
        <v>0.21939701492537309</v>
      </c>
      <c r="O151">
        <f t="shared" si="47"/>
        <v>0.28200130453132788</v>
      </c>
    </row>
    <row r="152" spans="1:15">
      <c r="A152">
        <v>6</v>
      </c>
      <c r="B152">
        <v>5.79</v>
      </c>
      <c r="C152">
        <v>3.74</v>
      </c>
      <c r="D152">
        <v>95</v>
      </c>
      <c r="E152">
        <f t="shared" si="45"/>
        <v>2.2799999999999998</v>
      </c>
      <c r="F152">
        <f t="shared" si="48"/>
        <v>4.6967999999999988</v>
      </c>
      <c r="G152">
        <f t="shared" si="49"/>
        <v>2.5167999999999986</v>
      </c>
      <c r="H152">
        <v>0.77100000000000002</v>
      </c>
      <c r="I152">
        <f t="shared" si="46"/>
        <v>3.2643320363164703</v>
      </c>
      <c r="N152">
        <v>0.14337564807541239</v>
      </c>
      <c r="O152">
        <f t="shared" si="47"/>
        <v>0.18596063304203941</v>
      </c>
    </row>
    <row r="153" spans="1:15">
      <c r="A153">
        <v>7</v>
      </c>
      <c r="B153" t="s">
        <v>5</v>
      </c>
      <c r="C153">
        <v>4.54</v>
      </c>
      <c r="D153">
        <v>98</v>
      </c>
      <c r="E153">
        <f t="shared" si="45"/>
        <v>2.3519999999999999</v>
      </c>
      <c r="F153">
        <f t="shared" si="48"/>
        <v>2.9635199999999995</v>
      </c>
      <c r="G153">
        <f t="shared" si="49"/>
        <v>0.78351999999999933</v>
      </c>
      <c r="H153">
        <v>0.66</v>
      </c>
      <c r="I153">
        <f t="shared" si="46"/>
        <v>1.1871515151515142</v>
      </c>
      <c r="N153">
        <v>1.2710221046665318E-2</v>
      </c>
      <c r="O153">
        <f t="shared" si="47"/>
        <v>1.9257910676765633E-2</v>
      </c>
    </row>
    <row r="154" spans="1:15">
      <c r="A154">
        <v>8</v>
      </c>
      <c r="B154">
        <f>+AVERAGE(B147:B152)</f>
        <v>5.8</v>
      </c>
      <c r="C154">
        <v>3.95</v>
      </c>
      <c r="D154">
        <v>116</v>
      </c>
      <c r="E154">
        <f t="shared" si="45"/>
        <v>2.7839999999999998</v>
      </c>
      <c r="F154">
        <f t="shared" si="48"/>
        <v>5.1503999999999985</v>
      </c>
      <c r="G154">
        <f t="shared" si="49"/>
        <v>2.9703999999999984</v>
      </c>
      <c r="H154">
        <v>0.59299999999999997</v>
      </c>
      <c r="I154">
        <f t="shared" si="46"/>
        <v>5.0091062394603689</v>
      </c>
      <c r="N154">
        <v>0.24411416888161924</v>
      </c>
      <c r="O154">
        <f t="shared" si="47"/>
        <v>0.41165964398249455</v>
      </c>
    </row>
    <row r="155" spans="1:15">
      <c r="A155">
        <v>9</v>
      </c>
      <c r="C155">
        <v>4.59</v>
      </c>
      <c r="D155">
        <v>93</v>
      </c>
      <c r="E155">
        <f t="shared" si="45"/>
        <v>2.2320000000000002</v>
      </c>
      <c r="F155">
        <f t="shared" si="48"/>
        <v>2.70072</v>
      </c>
      <c r="G155">
        <f t="shared" si="49"/>
        <v>0.52071999999999985</v>
      </c>
      <c r="H155">
        <v>0.66900000000000004</v>
      </c>
      <c r="I155">
        <f t="shared" si="46"/>
        <v>0.7783557548579968</v>
      </c>
      <c r="N155">
        <v>7.717082939731712E-2</v>
      </c>
      <c r="O155">
        <f t="shared" si="47"/>
        <v>0.11535251030989105</v>
      </c>
    </row>
    <row r="156" spans="1:15">
      <c r="A156" t="s">
        <v>35</v>
      </c>
      <c r="C156">
        <v>4.8</v>
      </c>
      <c r="D156">
        <v>91</v>
      </c>
      <c r="E156">
        <f t="shared" si="45"/>
        <v>2.1840000000000002</v>
      </c>
      <c r="F156">
        <f t="shared" si="48"/>
        <v>2.1840000000000002</v>
      </c>
    </row>
    <row r="158" spans="1:15">
      <c r="C158">
        <f t="shared" ref="C158:L158" si="50">+AVERAGE(C147:C156)</f>
        <v>3.9279999999999995</v>
      </c>
      <c r="D158">
        <f t="shared" si="50"/>
        <v>102.8</v>
      </c>
      <c r="E158">
        <f t="shared" si="50"/>
        <v>2.4671999999999996</v>
      </c>
      <c r="F158">
        <f t="shared" si="50"/>
        <v>4.6695119999999992</v>
      </c>
      <c r="G158">
        <f t="shared" si="50"/>
        <v>2.7656799999999997</v>
      </c>
      <c r="H158">
        <f t="shared" si="50"/>
        <v>0.83922222222222209</v>
      </c>
      <c r="I158">
        <f t="shared" si="50"/>
        <v>3.2833513793438382</v>
      </c>
      <c r="J158" t="e">
        <f t="shared" si="50"/>
        <v>#DIV/0!</v>
      </c>
      <c r="K158" t="e">
        <f t="shared" si="50"/>
        <v>#DIV/0!</v>
      </c>
      <c r="L158" t="e">
        <f t="shared" si="50"/>
        <v>#DIV/0!</v>
      </c>
      <c r="N158">
        <f t="shared" ref="N158:O158" si="51">+AVERAGE(N147:N156)</f>
        <v>0.14861673872027831</v>
      </c>
      <c r="O158">
        <f t="shared" si="51"/>
        <v>0.18289915201131002</v>
      </c>
    </row>
    <row r="161" spans="14:14">
      <c r="N161" t="s">
        <v>51</v>
      </c>
    </row>
    <row r="162" spans="14:14">
      <c r="N162">
        <v>4.7168008048292104E-4</v>
      </c>
    </row>
    <row r="163" spans="14:14">
      <c r="N163">
        <v>-8.3789235412474912E-3</v>
      </c>
    </row>
    <row r="164" spans="14:14">
      <c r="N164">
        <v>1.010083170254405E-2</v>
      </c>
    </row>
    <row r="165" spans="14:14">
      <c r="N165">
        <v>-3.733571428571416E-3</v>
      </c>
    </row>
    <row r="166" spans="14:14">
      <c r="N166">
        <v>-1.0018233082706756E-2</v>
      </c>
    </row>
    <row r="167" spans="14:14">
      <c r="N167">
        <v>2.4477305605786624E-2</v>
      </c>
    </row>
    <row r="168" spans="14:14">
      <c r="N168">
        <v>8.6037671232876804E-3</v>
      </c>
    </row>
    <row r="169" spans="14:14">
      <c r="N169">
        <v>2.1364737793851733E-2</v>
      </c>
    </row>
    <row r="170" spans="14:14">
      <c r="N170">
        <v>-7.6768101761252525E-3</v>
      </c>
    </row>
    <row r="172" spans="14:14">
      <c r="N172" t="s">
        <v>52</v>
      </c>
    </row>
    <row r="173" spans="14:14">
      <c r="N173">
        <v>8.0321734568980542E-3</v>
      </c>
    </row>
    <row r="174" spans="14:14">
      <c r="N174">
        <v>9.4630096367679745E-2</v>
      </c>
    </row>
    <row r="175" spans="14:14">
      <c r="N175">
        <v>0.10645790532669702</v>
      </c>
    </row>
    <row r="176" spans="14:14">
      <c r="N176">
        <v>7.612133072407043E-2</v>
      </c>
    </row>
    <row r="177" spans="14:14">
      <c r="N177">
        <v>-3.3672180451127902E-3</v>
      </c>
    </row>
    <row r="178" spans="14:14">
      <c r="N178">
        <v>0</v>
      </c>
    </row>
    <row r="179" spans="14:14">
      <c r="N179">
        <v>9.1454458932140478E-2</v>
      </c>
    </row>
    <row r="180" spans="14:14">
      <c r="N180">
        <v>-6.7724791430631443E-3</v>
      </c>
    </row>
    <row r="181" spans="14:14">
      <c r="N181">
        <v>-2.8438184067765786E-4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81"/>
  <sheetViews>
    <sheetView workbookViewId="0"/>
  </sheetViews>
  <sheetFormatPr baseColWidth="10" defaultRowHeight="12.75"/>
  <sheetData>
    <row r="1" spans="1:21">
      <c r="A1" t="s">
        <v>0</v>
      </c>
    </row>
    <row r="2" spans="1:21">
      <c r="A2" t="s">
        <v>1</v>
      </c>
    </row>
    <row r="3" spans="1:21">
      <c r="A3" t="s">
        <v>53</v>
      </c>
    </row>
    <row r="4" spans="1:21">
      <c r="A4" t="s">
        <v>54</v>
      </c>
    </row>
    <row r="5" spans="1:21">
      <c r="A5" t="s">
        <v>4</v>
      </c>
    </row>
    <row r="6" spans="1:21">
      <c r="A6" t="s">
        <v>5</v>
      </c>
      <c r="S6" t="s">
        <v>6</v>
      </c>
      <c r="T6" t="s">
        <v>7</v>
      </c>
      <c r="U6" t="s">
        <v>8</v>
      </c>
    </row>
    <row r="7" spans="1:21">
      <c r="A7" t="s">
        <v>9</v>
      </c>
      <c r="Q7" t="s">
        <v>10</v>
      </c>
      <c r="S7" t="s">
        <v>11</v>
      </c>
      <c r="T7" t="s">
        <v>12</v>
      </c>
    </row>
    <row r="8" spans="1:21">
      <c r="B8" t="s">
        <v>13</v>
      </c>
      <c r="D8" t="s">
        <v>14</v>
      </c>
      <c r="E8" t="s">
        <v>14</v>
      </c>
      <c r="F8" t="s">
        <v>15</v>
      </c>
      <c r="H8" t="s">
        <v>16</v>
      </c>
      <c r="I8" t="s">
        <v>10</v>
      </c>
      <c r="K8" t="s">
        <v>17</v>
      </c>
      <c r="L8" t="s">
        <v>10</v>
      </c>
      <c r="N8" t="s">
        <v>18</v>
      </c>
      <c r="O8" t="s">
        <v>19</v>
      </c>
      <c r="P8" t="s">
        <v>20</v>
      </c>
      <c r="Q8" t="s">
        <v>21</v>
      </c>
      <c r="R8" t="s">
        <v>22</v>
      </c>
      <c r="S8" t="s">
        <v>23</v>
      </c>
      <c r="T8" t="s">
        <v>23</v>
      </c>
    </row>
    <row r="9" spans="1:21">
      <c r="A9" t="s">
        <v>24</v>
      </c>
      <c r="B9" t="s">
        <v>25</v>
      </c>
      <c r="C9" t="s">
        <v>26</v>
      </c>
      <c r="D9" t="s">
        <v>27</v>
      </c>
      <c r="E9" t="s">
        <v>28</v>
      </c>
      <c r="F9" t="s">
        <v>29</v>
      </c>
      <c r="G9" t="s">
        <v>30</v>
      </c>
      <c r="H9" t="s">
        <v>31</v>
      </c>
      <c r="I9" t="s">
        <v>32</v>
      </c>
      <c r="K9" t="s">
        <v>31</v>
      </c>
      <c r="L9" t="s">
        <v>33</v>
      </c>
      <c r="O9" t="s">
        <v>34</v>
      </c>
      <c r="P9">
        <v>0</v>
      </c>
      <c r="Q9">
        <v>4.05</v>
      </c>
      <c r="R9">
        <v>2E-3</v>
      </c>
      <c r="S9">
        <f t="shared" ref="S9:S13" si="0">+Q9*62.5</f>
        <v>253.125</v>
      </c>
      <c r="T9">
        <f t="shared" ref="T9:T13" si="1">+R9*58.9</f>
        <v>0.1178</v>
      </c>
      <c r="U9">
        <f t="shared" ref="U9:U13" si="2">+S9/T9</f>
        <v>2148.7691001697794</v>
      </c>
    </row>
    <row r="10" spans="1:21">
      <c r="A10">
        <v>1</v>
      </c>
      <c r="B10">
        <v>5.23</v>
      </c>
      <c r="C10">
        <v>3.14</v>
      </c>
      <c r="D10">
        <v>102</v>
      </c>
      <c r="E10">
        <f t="shared" ref="E10:E19" si="3">+(((D10/50)*60)*20)/1000</f>
        <v>2.448</v>
      </c>
      <c r="F10">
        <f>(5.27-C10)*E10</f>
        <v>5.2142399999999984</v>
      </c>
      <c r="G10">
        <f>+F10-1.41</f>
        <v>3.8042399999999983</v>
      </c>
      <c r="H10">
        <v>1.08</v>
      </c>
      <c r="I10">
        <f t="shared" ref="I10:I18" si="4">+G10/H10</f>
        <v>3.5224444444444427</v>
      </c>
      <c r="K10">
        <v>0.26640000000000003</v>
      </c>
      <c r="N10">
        <v>-2.1558766233766229E-2</v>
      </c>
      <c r="O10">
        <v>0</v>
      </c>
      <c r="P10">
        <v>1</v>
      </c>
      <c r="Q10">
        <v>4.22</v>
      </c>
      <c r="R10">
        <v>0.04</v>
      </c>
      <c r="S10">
        <f t="shared" si="0"/>
        <v>263.75</v>
      </c>
      <c r="T10">
        <f t="shared" si="1"/>
        <v>2.3559999999999999</v>
      </c>
      <c r="U10">
        <f t="shared" si="2"/>
        <v>111.94821731748728</v>
      </c>
    </row>
    <row r="11" spans="1:21">
      <c r="A11">
        <v>2</v>
      </c>
      <c r="B11">
        <v>5.24</v>
      </c>
      <c r="C11">
        <v>3.4</v>
      </c>
      <c r="D11">
        <v>98</v>
      </c>
      <c r="E11">
        <f t="shared" si="3"/>
        <v>2.3519999999999999</v>
      </c>
      <c r="F11">
        <f t="shared" ref="F11:F19" si="5">(5.27-C11)*E11</f>
        <v>4.3982399999999986</v>
      </c>
      <c r="G11">
        <f t="shared" ref="G11:G18" si="6">+F11-1.41</f>
        <v>2.9882399999999985</v>
      </c>
      <c r="H11">
        <v>0.82</v>
      </c>
      <c r="I11">
        <f t="shared" si="4"/>
        <v>3.6441951219512179</v>
      </c>
      <c r="K11">
        <v>0.2029</v>
      </c>
      <c r="N11">
        <v>9.3806561859193383E-3</v>
      </c>
      <c r="O11">
        <f t="shared" ref="O11:O18" si="7">(N11/H11)</f>
        <v>1.1439824616974804E-2</v>
      </c>
      <c r="P11">
        <v>2</v>
      </c>
      <c r="Q11">
        <v>4.3899999999999997</v>
      </c>
      <c r="R11">
        <v>0.02</v>
      </c>
      <c r="S11">
        <f t="shared" si="0"/>
        <v>274.375</v>
      </c>
      <c r="T11">
        <f t="shared" si="1"/>
        <v>1.1779999999999999</v>
      </c>
      <c r="U11">
        <f t="shared" si="2"/>
        <v>232.91595925297116</v>
      </c>
    </row>
    <row r="12" spans="1:21">
      <c r="A12">
        <v>3</v>
      </c>
      <c r="B12">
        <v>5.25</v>
      </c>
      <c r="C12">
        <v>3.46</v>
      </c>
      <c r="D12">
        <v>108</v>
      </c>
      <c r="E12">
        <f t="shared" si="3"/>
        <v>2.5920000000000005</v>
      </c>
      <c r="F12">
        <f t="shared" si="5"/>
        <v>4.6915199999999997</v>
      </c>
      <c r="G12">
        <f t="shared" si="6"/>
        <v>3.2815199999999995</v>
      </c>
      <c r="H12">
        <v>0.89</v>
      </c>
      <c r="I12">
        <f t="shared" si="4"/>
        <v>3.6871011235955051</v>
      </c>
      <c r="K12">
        <v>0.2243</v>
      </c>
      <c r="N12">
        <v>-1.4866805671392825E-2</v>
      </c>
      <c r="O12">
        <v>0</v>
      </c>
      <c r="P12">
        <v>3</v>
      </c>
      <c r="Q12">
        <v>4.8</v>
      </c>
      <c r="R12">
        <v>8.9999999999999993E-3</v>
      </c>
      <c r="S12">
        <f t="shared" si="0"/>
        <v>300</v>
      </c>
      <c r="T12">
        <f t="shared" si="1"/>
        <v>0.5300999999999999</v>
      </c>
      <c r="U12">
        <f t="shared" si="2"/>
        <v>565.9309564233165</v>
      </c>
    </row>
    <row r="13" spans="1:21">
      <c r="A13">
        <v>4</v>
      </c>
      <c r="B13">
        <v>5.32</v>
      </c>
      <c r="C13">
        <v>3.48</v>
      </c>
      <c r="D13">
        <v>102</v>
      </c>
      <c r="E13">
        <f t="shared" si="3"/>
        <v>2.448</v>
      </c>
      <c r="F13">
        <f t="shared" si="5"/>
        <v>4.3819199999999991</v>
      </c>
      <c r="G13">
        <f t="shared" si="6"/>
        <v>2.971919999999999</v>
      </c>
      <c r="H13">
        <v>0.93</v>
      </c>
      <c r="I13">
        <f t="shared" si="4"/>
        <v>3.1956129032258054</v>
      </c>
      <c r="K13">
        <v>0.24990000000000001</v>
      </c>
      <c r="N13">
        <v>-2.0383425485405685E-2</v>
      </c>
      <c r="O13">
        <v>0</v>
      </c>
      <c r="P13">
        <v>4</v>
      </c>
      <c r="Q13">
        <v>3.89</v>
      </c>
      <c r="R13">
        <v>8.0000000000000002E-3</v>
      </c>
      <c r="S13">
        <f t="shared" si="0"/>
        <v>243.125</v>
      </c>
      <c r="T13">
        <f t="shared" si="1"/>
        <v>0.47120000000000001</v>
      </c>
      <c r="U13">
        <f t="shared" si="2"/>
        <v>515.96986417657047</v>
      </c>
    </row>
    <row r="14" spans="1:21">
      <c r="A14">
        <v>5</v>
      </c>
      <c r="B14">
        <v>5.3</v>
      </c>
      <c r="C14">
        <v>3.69</v>
      </c>
      <c r="D14">
        <v>125</v>
      </c>
      <c r="E14">
        <f t="shared" si="3"/>
        <v>3</v>
      </c>
      <c r="F14">
        <f t="shared" si="5"/>
        <v>4.7399999999999984</v>
      </c>
      <c r="G14">
        <f t="shared" si="6"/>
        <v>3.3299999999999983</v>
      </c>
      <c r="H14">
        <v>0.78</v>
      </c>
      <c r="I14">
        <f t="shared" si="4"/>
        <v>4.2692307692307665</v>
      </c>
      <c r="K14">
        <v>0.2049</v>
      </c>
      <c r="N14">
        <v>-1.4322383498854077E-3</v>
      </c>
      <c r="O14">
        <v>0</v>
      </c>
      <c r="P14" t="s">
        <v>5</v>
      </c>
      <c r="Q14" t="s">
        <v>5</v>
      </c>
      <c r="R14" t="s">
        <v>5</v>
      </c>
    </row>
    <row r="15" spans="1:21">
      <c r="A15">
        <v>6</v>
      </c>
      <c r="B15">
        <v>5.3</v>
      </c>
      <c r="C15">
        <v>3.75</v>
      </c>
      <c r="D15">
        <v>95</v>
      </c>
      <c r="E15">
        <f t="shared" si="3"/>
        <v>2.2799999999999998</v>
      </c>
      <c r="F15">
        <f t="shared" si="5"/>
        <v>3.4655999999999989</v>
      </c>
      <c r="G15">
        <f t="shared" si="6"/>
        <v>2.0555999999999992</v>
      </c>
      <c r="H15">
        <v>0.78</v>
      </c>
      <c r="I15">
        <f t="shared" si="4"/>
        <v>2.6353846153846141</v>
      </c>
      <c r="K15">
        <v>0.1905</v>
      </c>
      <c r="N15">
        <v>3.3150375939849635E-3</v>
      </c>
      <c r="O15">
        <f t="shared" si="7"/>
        <v>4.2500481974166197E-3</v>
      </c>
      <c r="P15" t="s">
        <v>5</v>
      </c>
      <c r="Q15" t="s">
        <v>5</v>
      </c>
      <c r="R15" t="s">
        <v>5</v>
      </c>
    </row>
    <row r="16" spans="1:21">
      <c r="A16">
        <v>7</v>
      </c>
      <c r="C16">
        <v>4.2699999999999996</v>
      </c>
      <c r="D16">
        <v>98</v>
      </c>
      <c r="E16">
        <f t="shared" si="3"/>
        <v>2.3519999999999999</v>
      </c>
      <c r="F16">
        <f t="shared" si="5"/>
        <v>2.3519999999999999</v>
      </c>
      <c r="G16">
        <f t="shared" si="6"/>
        <v>0.94199999999999995</v>
      </c>
      <c r="H16">
        <v>0.64</v>
      </c>
      <c r="I16">
        <f t="shared" si="4"/>
        <v>1.4718749999999998</v>
      </c>
      <c r="K16">
        <v>0.1729</v>
      </c>
      <c r="N16">
        <v>-1.0153259611675453E-2</v>
      </c>
      <c r="O16">
        <v>0</v>
      </c>
      <c r="P16" t="s">
        <v>5</v>
      </c>
      <c r="Q16" t="s">
        <v>5</v>
      </c>
      <c r="R16" t="s">
        <v>5</v>
      </c>
    </row>
    <row r="17" spans="1:15">
      <c r="A17">
        <v>8</v>
      </c>
      <c r="B17">
        <f>+AVERAGE(B10:B15)</f>
        <v>5.2733333333333334</v>
      </c>
      <c r="C17">
        <v>3.74</v>
      </c>
      <c r="D17">
        <v>116</v>
      </c>
      <c r="E17">
        <f t="shared" si="3"/>
        <v>2.7839999999999998</v>
      </c>
      <c r="F17">
        <f t="shared" si="5"/>
        <v>4.2595199999999975</v>
      </c>
      <c r="G17">
        <f t="shared" si="6"/>
        <v>2.8495199999999974</v>
      </c>
      <c r="H17">
        <v>0.74</v>
      </c>
      <c r="I17">
        <f t="shared" si="4"/>
        <v>3.8507027027026992</v>
      </c>
      <c r="K17">
        <v>0.19919999999999999</v>
      </c>
      <c r="N17">
        <v>-9.5941276115189197E-3</v>
      </c>
      <c r="O17">
        <v>0</v>
      </c>
    </row>
    <row r="18" spans="1:15">
      <c r="A18">
        <v>9</v>
      </c>
      <c r="C18">
        <v>4.33</v>
      </c>
      <c r="D18">
        <v>93</v>
      </c>
      <c r="E18">
        <f t="shared" si="3"/>
        <v>2.2320000000000002</v>
      </c>
      <c r="F18">
        <f t="shared" si="5"/>
        <v>2.0980799999999991</v>
      </c>
      <c r="G18">
        <f t="shared" si="6"/>
        <v>0.68807999999999914</v>
      </c>
      <c r="H18">
        <v>0.48</v>
      </c>
      <c r="I18">
        <f t="shared" si="4"/>
        <v>1.4334999999999982</v>
      </c>
      <c r="K18">
        <v>0.1202</v>
      </c>
      <c r="N18">
        <v>1.1821497651284974E-3</v>
      </c>
      <c r="O18">
        <f t="shared" si="7"/>
        <v>2.4628120106843696E-3</v>
      </c>
    </row>
    <row r="19" spans="1:15">
      <c r="A19" t="s">
        <v>35</v>
      </c>
      <c r="C19">
        <v>4.62</v>
      </c>
      <c r="D19">
        <v>91</v>
      </c>
      <c r="E19">
        <f t="shared" si="3"/>
        <v>2.1840000000000002</v>
      </c>
      <c r="F19">
        <f t="shared" si="5"/>
        <v>1.4195999999999989</v>
      </c>
    </row>
    <row r="21" spans="1:15">
      <c r="C21">
        <f t="shared" ref="C21:L21" si="8">+AVERAGE(C10:C19)</f>
        <v>3.7879999999999994</v>
      </c>
      <c r="D21">
        <f t="shared" si="8"/>
        <v>102.8</v>
      </c>
      <c r="E21">
        <f t="shared" si="8"/>
        <v>2.4671999999999996</v>
      </c>
      <c r="F21">
        <f t="shared" si="8"/>
        <v>3.7020719999999985</v>
      </c>
      <c r="G21">
        <f t="shared" si="8"/>
        <v>2.5456799999999991</v>
      </c>
      <c r="H21">
        <f t="shared" si="8"/>
        <v>0.79333333333333345</v>
      </c>
      <c r="I21">
        <f t="shared" si="8"/>
        <v>3.0788940756150054</v>
      </c>
      <c r="J21" t="e">
        <f t="shared" si="8"/>
        <v>#DIV/0!</v>
      </c>
      <c r="K21">
        <f t="shared" si="8"/>
        <v>0.20346666666666671</v>
      </c>
      <c r="L21" t="e">
        <f t="shared" si="8"/>
        <v>#DIV/0!</v>
      </c>
      <c r="O21">
        <f>+AVERAGE(O10:O18)</f>
        <v>2.0169649805639768E-3</v>
      </c>
    </row>
    <row r="27" spans="1:15">
      <c r="A27" t="s">
        <v>36</v>
      </c>
    </row>
    <row r="28" spans="1:15">
      <c r="B28" t="s">
        <v>13</v>
      </c>
      <c r="D28" t="s">
        <v>14</v>
      </c>
      <c r="E28" t="s">
        <v>14</v>
      </c>
      <c r="F28" t="s">
        <v>15</v>
      </c>
      <c r="H28" t="s">
        <v>16</v>
      </c>
      <c r="I28" t="s">
        <v>10</v>
      </c>
      <c r="K28" t="s">
        <v>17</v>
      </c>
      <c r="L28" t="s">
        <v>10</v>
      </c>
      <c r="N28" t="s">
        <v>18</v>
      </c>
      <c r="O28" t="s">
        <v>19</v>
      </c>
    </row>
    <row r="29" spans="1:15">
      <c r="A29" t="s">
        <v>24</v>
      </c>
      <c r="B29" t="s">
        <v>25</v>
      </c>
      <c r="C29" t="s">
        <v>37</v>
      </c>
      <c r="D29" t="s">
        <v>27</v>
      </c>
      <c r="E29" t="s">
        <v>28</v>
      </c>
      <c r="F29" t="s">
        <v>29</v>
      </c>
      <c r="G29" t="s">
        <v>30</v>
      </c>
      <c r="H29" t="s">
        <v>31</v>
      </c>
      <c r="I29" t="s">
        <v>32</v>
      </c>
      <c r="K29" t="s">
        <v>31</v>
      </c>
      <c r="L29" t="s">
        <v>33</v>
      </c>
      <c r="O29" t="s">
        <v>34</v>
      </c>
    </row>
    <row r="30" spans="1:15">
      <c r="A30">
        <v>1</v>
      </c>
      <c r="B30">
        <v>5.16</v>
      </c>
      <c r="C30">
        <v>2.95</v>
      </c>
      <c r="D30">
        <v>102</v>
      </c>
      <c r="E30">
        <f t="shared" ref="E30:E39" si="9">+(((D30/50)*60)*20)/1000</f>
        <v>2.448</v>
      </c>
      <c r="F30">
        <f>(5.15-C30)*E30</f>
        <v>5.3856000000000002</v>
      </c>
      <c r="G30">
        <f>+F30-1.53</f>
        <v>3.8555999999999999</v>
      </c>
      <c r="H30">
        <v>1.08</v>
      </c>
      <c r="I30">
        <f t="shared" ref="I30:I38" si="10">+G30/H30</f>
        <v>3.57</v>
      </c>
      <c r="N30">
        <v>8.2830086032388645E-2</v>
      </c>
      <c r="O30">
        <f>(N30/H30)</f>
        <v>7.6694524104063549E-2</v>
      </c>
    </row>
    <row r="31" spans="1:15">
      <c r="A31">
        <v>2</v>
      </c>
      <c r="B31">
        <v>5.21</v>
      </c>
      <c r="C31">
        <v>3.35</v>
      </c>
      <c r="D31">
        <v>98</v>
      </c>
      <c r="E31">
        <f t="shared" si="9"/>
        <v>2.3519999999999999</v>
      </c>
      <c r="F31">
        <f t="shared" ref="F31:F39" si="11">(5.15-C31)*E31</f>
        <v>4.2336</v>
      </c>
      <c r="G31">
        <f t="shared" ref="G31:G38" si="12">+F31-1.53</f>
        <v>2.7035999999999998</v>
      </c>
      <c r="H31">
        <v>0.82</v>
      </c>
      <c r="I31">
        <f t="shared" si="10"/>
        <v>3.2970731707317071</v>
      </c>
      <c r="N31">
        <v>3.9797229916897506E-2</v>
      </c>
      <c r="O31">
        <f t="shared" ref="O31:O38" si="13">(N31/H31)</f>
        <v>4.8533207215728666E-2</v>
      </c>
    </row>
    <row r="32" spans="1:15">
      <c r="A32">
        <v>3</v>
      </c>
      <c r="B32">
        <v>5.05</v>
      </c>
      <c r="C32">
        <v>3.23</v>
      </c>
      <c r="D32">
        <v>108</v>
      </c>
      <c r="E32">
        <f t="shared" si="9"/>
        <v>2.5920000000000005</v>
      </c>
      <c r="F32">
        <f t="shared" si="11"/>
        <v>4.9766400000000024</v>
      </c>
      <c r="G32">
        <f t="shared" si="12"/>
        <v>3.4466400000000021</v>
      </c>
      <c r="H32">
        <v>0.89</v>
      </c>
      <c r="I32">
        <f t="shared" si="10"/>
        <v>3.8726292134831484</v>
      </c>
      <c r="N32">
        <v>3.8541646547561551E-2</v>
      </c>
      <c r="O32">
        <f t="shared" si="13"/>
        <v>4.3305220839956797E-2</v>
      </c>
    </row>
    <row r="33" spans="1:15">
      <c r="A33">
        <v>4</v>
      </c>
      <c r="B33">
        <v>5.0999999999999996</v>
      </c>
      <c r="C33">
        <v>3.12</v>
      </c>
      <c r="D33">
        <v>102</v>
      </c>
      <c r="E33">
        <f t="shared" si="9"/>
        <v>2.448</v>
      </c>
      <c r="F33">
        <f t="shared" si="11"/>
        <v>4.9694400000000005</v>
      </c>
      <c r="G33">
        <f t="shared" si="12"/>
        <v>3.4394400000000003</v>
      </c>
      <c r="H33">
        <v>0.93</v>
      </c>
      <c r="I33">
        <f t="shared" si="10"/>
        <v>3.6983225806451614</v>
      </c>
      <c r="N33">
        <v>1.1766935904116722E-2</v>
      </c>
      <c r="O33">
        <f t="shared" si="13"/>
        <v>1.265261925173841E-2</v>
      </c>
    </row>
    <row r="34" spans="1:15">
      <c r="A34">
        <v>5</v>
      </c>
      <c r="B34">
        <v>5.17</v>
      </c>
      <c r="C34">
        <v>3.1</v>
      </c>
      <c r="D34">
        <v>125</v>
      </c>
      <c r="E34">
        <f t="shared" si="9"/>
        <v>3</v>
      </c>
      <c r="F34">
        <f t="shared" si="11"/>
        <v>6.15</v>
      </c>
      <c r="G34">
        <f t="shared" si="12"/>
        <v>4.62</v>
      </c>
      <c r="H34">
        <v>0.78</v>
      </c>
      <c r="I34">
        <f t="shared" si="10"/>
        <v>5.9230769230769234</v>
      </c>
      <c r="N34">
        <v>1.6280959752321977E-2</v>
      </c>
      <c r="O34">
        <f t="shared" si="13"/>
        <v>2.0873025323489714E-2</v>
      </c>
    </row>
    <row r="35" spans="1:15">
      <c r="A35">
        <v>6</v>
      </c>
      <c r="B35">
        <v>5.21</v>
      </c>
      <c r="C35">
        <v>3.57</v>
      </c>
      <c r="D35">
        <v>95</v>
      </c>
      <c r="E35">
        <f t="shared" si="9"/>
        <v>2.2799999999999998</v>
      </c>
      <c r="F35">
        <f t="shared" si="11"/>
        <v>3.6024000000000007</v>
      </c>
      <c r="G35">
        <f t="shared" si="12"/>
        <v>2.0724000000000009</v>
      </c>
      <c r="H35">
        <v>0.78</v>
      </c>
      <c r="I35">
        <f t="shared" si="10"/>
        <v>2.6569230769230781</v>
      </c>
      <c r="N35">
        <v>6.3425346260387802E-2</v>
      </c>
      <c r="O35">
        <f t="shared" si="13"/>
        <v>8.1314546487676664E-2</v>
      </c>
    </row>
    <row r="36" spans="1:15">
      <c r="A36">
        <v>7</v>
      </c>
      <c r="C36">
        <v>3.68</v>
      </c>
      <c r="D36">
        <v>98</v>
      </c>
      <c r="E36">
        <f t="shared" si="9"/>
        <v>2.3519999999999999</v>
      </c>
      <c r="F36">
        <f t="shared" si="11"/>
        <v>3.4574400000000001</v>
      </c>
      <c r="G36">
        <f t="shared" si="12"/>
        <v>1.92744</v>
      </c>
      <c r="H36">
        <v>0.64</v>
      </c>
      <c r="I36">
        <f t="shared" si="10"/>
        <v>3.011625</v>
      </c>
      <c r="N36">
        <v>1.1168968212610726E-2</v>
      </c>
      <c r="O36">
        <f t="shared" si="13"/>
        <v>1.7451512832204259E-2</v>
      </c>
    </row>
    <row r="37" spans="1:15">
      <c r="A37">
        <v>8</v>
      </c>
      <c r="B37">
        <f>+AVERAGE(B30:B35)</f>
        <v>5.1500000000000012</v>
      </c>
      <c r="C37">
        <v>4.0999999999999996</v>
      </c>
      <c r="D37">
        <v>116</v>
      </c>
      <c r="E37">
        <f t="shared" si="9"/>
        <v>2.7839999999999998</v>
      </c>
      <c r="F37">
        <f t="shared" si="11"/>
        <v>2.9232000000000018</v>
      </c>
      <c r="G37">
        <f t="shared" si="12"/>
        <v>1.3932000000000018</v>
      </c>
      <c r="H37">
        <v>0.74</v>
      </c>
      <c r="I37">
        <f t="shared" si="10"/>
        <v>1.882702702702705</v>
      </c>
      <c r="N37">
        <v>5.4562356979405008E-3</v>
      </c>
      <c r="O37">
        <f t="shared" si="13"/>
        <v>7.3732914837033791E-3</v>
      </c>
    </row>
    <row r="38" spans="1:15">
      <c r="A38">
        <v>9</v>
      </c>
      <c r="C38">
        <v>4.21</v>
      </c>
      <c r="D38">
        <v>93</v>
      </c>
      <c r="E38">
        <f t="shared" si="9"/>
        <v>2.2320000000000002</v>
      </c>
      <c r="F38">
        <f t="shared" si="11"/>
        <v>2.0980800000000013</v>
      </c>
      <c r="G38">
        <f t="shared" si="12"/>
        <v>0.56808000000000125</v>
      </c>
      <c r="H38">
        <v>0.48</v>
      </c>
      <c r="I38">
        <f t="shared" si="10"/>
        <v>1.1835000000000027</v>
      </c>
      <c r="N38">
        <v>4.0658454647256426E-2</v>
      </c>
      <c r="O38">
        <f t="shared" si="13"/>
        <v>8.4705113848450891E-2</v>
      </c>
    </row>
    <row r="39" spans="1:15">
      <c r="A39" t="s">
        <v>35</v>
      </c>
      <c r="C39">
        <v>4.45</v>
      </c>
      <c r="D39">
        <v>91</v>
      </c>
      <c r="E39">
        <f t="shared" si="9"/>
        <v>2.1840000000000002</v>
      </c>
      <c r="F39">
        <f t="shared" si="11"/>
        <v>1.5288000000000006</v>
      </c>
    </row>
    <row r="41" spans="1:15">
      <c r="C41">
        <f t="shared" ref="C41:L41" si="14">+AVERAGE(C30:C39)</f>
        <v>3.5760000000000005</v>
      </c>
      <c r="D41">
        <f t="shared" si="14"/>
        <v>102.8</v>
      </c>
      <c r="E41">
        <f t="shared" si="14"/>
        <v>2.4671999999999996</v>
      </c>
      <c r="F41">
        <f t="shared" si="14"/>
        <v>3.9325200000000011</v>
      </c>
      <c r="G41">
        <f t="shared" si="14"/>
        <v>2.6696000000000009</v>
      </c>
      <c r="H41">
        <f t="shared" si="14"/>
        <v>0.79333333333333345</v>
      </c>
      <c r="I41">
        <f t="shared" si="14"/>
        <v>3.2328725186180804</v>
      </c>
      <c r="J41" t="e">
        <f t="shared" si="14"/>
        <v>#DIV/0!</v>
      </c>
      <c r="K41" t="e">
        <f t="shared" si="14"/>
        <v>#DIV/0!</v>
      </c>
      <c r="L41" t="e">
        <f t="shared" si="14"/>
        <v>#DIV/0!</v>
      </c>
      <c r="O41">
        <f>+AVERAGE(O30:O39)</f>
        <v>4.365589570966804E-2</v>
      </c>
    </row>
    <row r="46" spans="1:15">
      <c r="A46" t="s">
        <v>38</v>
      </c>
      <c r="C46" t="s">
        <v>39</v>
      </c>
    </row>
    <row r="47" spans="1:15">
      <c r="B47" t="s">
        <v>13</v>
      </c>
      <c r="D47" t="s">
        <v>14</v>
      </c>
      <c r="E47" t="s">
        <v>14</v>
      </c>
      <c r="F47" t="s">
        <v>15</v>
      </c>
      <c r="H47" t="s">
        <v>16</v>
      </c>
      <c r="I47" t="s">
        <v>10</v>
      </c>
      <c r="K47" t="s">
        <v>17</v>
      </c>
      <c r="L47" t="s">
        <v>10</v>
      </c>
      <c r="N47" t="s">
        <v>18</v>
      </c>
      <c r="O47" t="s">
        <v>19</v>
      </c>
    </row>
    <row r="48" spans="1:15">
      <c r="A48" t="s">
        <v>24</v>
      </c>
      <c r="B48" t="s">
        <v>25</v>
      </c>
      <c r="C48" t="s">
        <v>37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K48" t="s">
        <v>31</v>
      </c>
      <c r="L48" t="s">
        <v>33</v>
      </c>
      <c r="O48" t="s">
        <v>34</v>
      </c>
    </row>
    <row r="49" spans="1:15">
      <c r="A49">
        <v>1</v>
      </c>
      <c r="B49">
        <v>5.21</v>
      </c>
      <c r="C49">
        <v>2.82</v>
      </c>
      <c r="D49">
        <v>102</v>
      </c>
      <c r="E49">
        <f t="shared" ref="E49:E58" si="15">+(((D49/50)*60)*20)/1000</f>
        <v>2.448</v>
      </c>
      <c r="F49">
        <f>(5.19-C49)*E49</f>
        <v>5.8017600000000016</v>
      </c>
      <c r="G49">
        <f>+F49-1.53</f>
        <v>4.2717600000000013</v>
      </c>
      <c r="H49">
        <v>1.08</v>
      </c>
      <c r="I49">
        <f t="shared" ref="I49:I57" si="16">+G49/H49</f>
        <v>3.9553333333333343</v>
      </c>
      <c r="N49">
        <v>5.751436420722135E-2</v>
      </c>
      <c r="O49">
        <f>(N49/H49)</f>
        <v>5.3254040932612358E-2</v>
      </c>
    </row>
    <row r="50" spans="1:15">
      <c r="A50">
        <v>2</v>
      </c>
      <c r="B50">
        <v>5.27</v>
      </c>
      <c r="C50">
        <v>2.83</v>
      </c>
      <c r="D50">
        <v>98</v>
      </c>
      <c r="E50">
        <f t="shared" si="15"/>
        <v>2.3519999999999999</v>
      </c>
      <c r="F50">
        <f t="shared" ref="F50:F58" si="17">(5.19-C50)*E50</f>
        <v>5.5507200000000001</v>
      </c>
      <c r="G50">
        <f t="shared" ref="G50:G57" si="18">+F50-1.53</f>
        <v>4.0207199999999998</v>
      </c>
      <c r="H50">
        <v>0.82</v>
      </c>
      <c r="I50">
        <f t="shared" si="16"/>
        <v>4.9033170731707321</v>
      </c>
      <c r="N50">
        <v>4.3190870032223411E-2</v>
      </c>
      <c r="O50">
        <f t="shared" ref="O50:O56" si="19">(N50/H50)</f>
        <v>5.2671792722223672E-2</v>
      </c>
    </row>
    <row r="51" spans="1:15">
      <c r="A51">
        <v>3</v>
      </c>
      <c r="B51">
        <v>5.13</v>
      </c>
      <c r="C51">
        <v>3.15</v>
      </c>
      <c r="D51">
        <v>108</v>
      </c>
      <c r="E51">
        <f t="shared" si="15"/>
        <v>2.5920000000000005</v>
      </c>
      <c r="F51">
        <f t="shared" si="17"/>
        <v>5.2876800000000026</v>
      </c>
      <c r="G51">
        <f t="shared" si="18"/>
        <v>3.7576800000000024</v>
      </c>
      <c r="H51">
        <v>0.89</v>
      </c>
      <c r="I51">
        <f t="shared" si="16"/>
        <v>4.2221123595505645</v>
      </c>
      <c r="N51">
        <v>2.6116775884665794E-2</v>
      </c>
      <c r="O51">
        <f t="shared" si="19"/>
        <v>2.9344692005242465E-2</v>
      </c>
    </row>
    <row r="52" spans="1:15">
      <c r="A52">
        <v>4</v>
      </c>
      <c r="B52">
        <v>5.19</v>
      </c>
      <c r="C52">
        <v>3.2</v>
      </c>
      <c r="D52">
        <v>102</v>
      </c>
      <c r="E52">
        <f t="shared" si="15"/>
        <v>2.448</v>
      </c>
      <c r="F52">
        <f t="shared" si="17"/>
        <v>4.8715200000000003</v>
      </c>
      <c r="G52">
        <f t="shared" si="18"/>
        <v>3.34152</v>
      </c>
      <c r="H52">
        <v>0.93</v>
      </c>
      <c r="I52">
        <f t="shared" si="16"/>
        <v>3.593032258064516</v>
      </c>
      <c r="N52">
        <v>1.8467023641139613E-2</v>
      </c>
      <c r="O52">
        <f t="shared" si="19"/>
        <v>1.9857014667892057E-2</v>
      </c>
    </row>
    <row r="53" spans="1:15">
      <c r="A53">
        <v>5</v>
      </c>
      <c r="B53">
        <v>5.18</v>
      </c>
      <c r="C53">
        <v>3.19</v>
      </c>
      <c r="D53">
        <v>125</v>
      </c>
      <c r="E53">
        <f t="shared" si="15"/>
        <v>3</v>
      </c>
      <c r="F53">
        <f t="shared" si="17"/>
        <v>6.0000000000000018</v>
      </c>
      <c r="G53">
        <f t="shared" si="18"/>
        <v>4.4700000000000015</v>
      </c>
      <c r="H53">
        <v>0.78</v>
      </c>
      <c r="I53">
        <f t="shared" si="16"/>
        <v>5.7307692307692326</v>
      </c>
      <c r="N53">
        <v>3.2006002400960282E-3</v>
      </c>
      <c r="O53">
        <f t="shared" si="19"/>
        <v>4.1033336411487537E-3</v>
      </c>
    </row>
    <row r="54" spans="1:15">
      <c r="A54">
        <v>6</v>
      </c>
      <c r="B54">
        <v>5.17</v>
      </c>
      <c r="C54">
        <v>3.61</v>
      </c>
      <c r="D54">
        <v>95</v>
      </c>
      <c r="E54">
        <f t="shared" si="15"/>
        <v>2.2799999999999998</v>
      </c>
      <c r="F54">
        <f t="shared" si="17"/>
        <v>3.6024000000000007</v>
      </c>
      <c r="G54">
        <f t="shared" si="18"/>
        <v>2.0724000000000009</v>
      </c>
      <c r="H54">
        <v>0.78</v>
      </c>
      <c r="I54">
        <f t="shared" si="16"/>
        <v>2.6569230769230781</v>
      </c>
      <c r="N54">
        <v>1.1528141783029001E-2</v>
      </c>
      <c r="O54">
        <f t="shared" si="19"/>
        <v>1.4779668952601284E-2</v>
      </c>
    </row>
    <row r="55" spans="1:15">
      <c r="A55">
        <v>7</v>
      </c>
      <c r="C55">
        <v>4.13</v>
      </c>
      <c r="D55">
        <v>98</v>
      </c>
      <c r="E55">
        <f t="shared" si="15"/>
        <v>2.3519999999999999</v>
      </c>
      <c r="F55">
        <f t="shared" si="17"/>
        <v>2.4931200000000011</v>
      </c>
      <c r="G55">
        <f t="shared" si="18"/>
        <v>0.96312000000000109</v>
      </c>
      <c r="H55">
        <v>0.64</v>
      </c>
      <c r="I55">
        <f t="shared" si="16"/>
        <v>1.5048750000000017</v>
      </c>
      <c r="N55">
        <v>8.5741159830268615E-3</v>
      </c>
      <c r="O55">
        <f t="shared" si="19"/>
        <v>1.339705622347947E-2</v>
      </c>
    </row>
    <row r="56" spans="1:15">
      <c r="A56">
        <v>8</v>
      </c>
      <c r="B56">
        <f>+AVERAGE(B49:B54)</f>
        <v>5.1916666666666664</v>
      </c>
      <c r="C56">
        <v>3.57</v>
      </c>
      <c r="D56">
        <v>116</v>
      </c>
      <c r="E56">
        <f t="shared" si="15"/>
        <v>2.7839999999999998</v>
      </c>
      <c r="F56">
        <f t="shared" si="17"/>
        <v>4.5100800000000012</v>
      </c>
      <c r="G56">
        <f t="shared" si="18"/>
        <v>2.980080000000001</v>
      </c>
      <c r="H56">
        <v>0.74</v>
      </c>
      <c r="I56">
        <f t="shared" si="16"/>
        <v>4.0271351351351363</v>
      </c>
      <c r="N56">
        <v>1.2188021295474692E-2</v>
      </c>
      <c r="O56">
        <f t="shared" si="19"/>
        <v>1.6470299047938772E-2</v>
      </c>
    </row>
    <row r="57" spans="1:15">
      <c r="A57">
        <v>9</v>
      </c>
      <c r="C57">
        <v>4</v>
      </c>
      <c r="D57">
        <v>93</v>
      </c>
      <c r="E57">
        <f t="shared" si="15"/>
        <v>2.2320000000000002</v>
      </c>
      <c r="F57">
        <f t="shared" si="17"/>
        <v>2.6560800000000011</v>
      </c>
      <c r="G57">
        <f t="shared" si="18"/>
        <v>1.1260800000000011</v>
      </c>
      <c r="H57">
        <v>0.48</v>
      </c>
      <c r="I57">
        <f t="shared" si="16"/>
        <v>2.3460000000000023</v>
      </c>
      <c r="N57">
        <v>-5.6404255319149228E-3</v>
      </c>
      <c r="O57">
        <v>0</v>
      </c>
    </row>
    <row r="58" spans="1:15">
      <c r="A58" t="s">
        <v>35</v>
      </c>
      <c r="C58">
        <v>4.49</v>
      </c>
      <c r="D58">
        <v>91</v>
      </c>
      <c r="E58">
        <f t="shared" si="15"/>
        <v>2.1840000000000002</v>
      </c>
      <c r="F58">
        <f t="shared" si="17"/>
        <v>1.5288000000000006</v>
      </c>
    </row>
    <row r="60" spans="1:15">
      <c r="C60">
        <f t="shared" ref="C60:L60" si="20">+AVERAGE(C49:C58)</f>
        <v>3.4990000000000001</v>
      </c>
      <c r="D60">
        <f t="shared" si="20"/>
        <v>102.8</v>
      </c>
      <c r="E60">
        <f t="shared" si="20"/>
        <v>2.4671999999999996</v>
      </c>
      <c r="F60">
        <f t="shared" si="20"/>
        <v>4.2302160000000013</v>
      </c>
      <c r="G60">
        <f t="shared" si="20"/>
        <v>3.0003733333333344</v>
      </c>
      <c r="H60">
        <f t="shared" si="20"/>
        <v>0.79333333333333345</v>
      </c>
      <c r="I60">
        <f t="shared" si="20"/>
        <v>3.6599441629940666</v>
      </c>
      <c r="J60" t="e">
        <f t="shared" si="20"/>
        <v>#DIV/0!</v>
      </c>
      <c r="K60" t="e">
        <f t="shared" si="20"/>
        <v>#DIV/0!</v>
      </c>
      <c r="L60" t="e">
        <f t="shared" si="20"/>
        <v>#DIV/0!</v>
      </c>
      <c r="O60">
        <f>+AVERAGE(O49:O58)</f>
        <v>2.2653099799237648E-2</v>
      </c>
    </row>
    <row r="65" spans="1:15">
      <c r="A65" t="s">
        <v>40</v>
      </c>
      <c r="C65" t="s">
        <v>41</v>
      </c>
    </row>
    <row r="66" spans="1:15">
      <c r="B66" t="s">
        <v>13</v>
      </c>
      <c r="D66" t="s">
        <v>14</v>
      </c>
      <c r="E66" t="s">
        <v>14</v>
      </c>
      <c r="F66" t="s">
        <v>15</v>
      </c>
      <c r="H66" t="s">
        <v>16</v>
      </c>
      <c r="I66" t="s">
        <v>10</v>
      </c>
      <c r="K66" t="s">
        <v>17</v>
      </c>
      <c r="L66" t="s">
        <v>10</v>
      </c>
      <c r="N66" t="s">
        <v>18</v>
      </c>
      <c r="O66" t="s">
        <v>19</v>
      </c>
    </row>
    <row r="67" spans="1:15">
      <c r="A67" t="s">
        <v>24</v>
      </c>
      <c r="B67" t="s">
        <v>25</v>
      </c>
      <c r="C67" t="s">
        <v>37</v>
      </c>
      <c r="D67" t="s">
        <v>27</v>
      </c>
      <c r="E67" t="s">
        <v>28</v>
      </c>
      <c r="F67" t="s">
        <v>29</v>
      </c>
      <c r="G67" t="s">
        <v>30</v>
      </c>
      <c r="H67" t="s">
        <v>31</v>
      </c>
      <c r="I67" t="s">
        <v>32</v>
      </c>
      <c r="K67" t="s">
        <v>31</v>
      </c>
      <c r="L67" t="s">
        <v>33</v>
      </c>
      <c r="O67" t="s">
        <v>34</v>
      </c>
    </row>
    <row r="68" spans="1:15">
      <c r="A68">
        <v>1</v>
      </c>
      <c r="B68">
        <v>5.37</v>
      </c>
      <c r="C68">
        <v>2.96</v>
      </c>
      <c r="D68">
        <v>102</v>
      </c>
      <c r="E68">
        <f t="shared" ref="E68:E77" si="21">+(((D68/50)*60)*20)/1000</f>
        <v>2.448</v>
      </c>
      <c r="F68">
        <f>(5.24-C68)*E68</f>
        <v>5.5814400000000006</v>
      </c>
      <c r="G68">
        <f>+F68-1.44</f>
        <v>4.1414400000000011</v>
      </c>
      <c r="H68">
        <v>1.08</v>
      </c>
      <c r="I68">
        <f t="shared" ref="I68:I76" si="22">+G68/H68</f>
        <v>3.8346666666666676</v>
      </c>
      <c r="N68">
        <v>4.4148363338788875E-2</v>
      </c>
      <c r="O68">
        <f>(N68/H68)</f>
        <v>4.0878114202582291E-2</v>
      </c>
    </row>
    <row r="69" spans="1:15">
      <c r="A69">
        <v>2</v>
      </c>
      <c r="B69">
        <v>5.4</v>
      </c>
      <c r="C69">
        <v>2.95</v>
      </c>
      <c r="D69">
        <v>98</v>
      </c>
      <c r="E69">
        <f t="shared" si="21"/>
        <v>2.3519999999999999</v>
      </c>
      <c r="F69">
        <f t="shared" ref="F69:F77" si="23">(5.24-C69)*E69</f>
        <v>5.3860799999999998</v>
      </c>
      <c r="G69">
        <f t="shared" ref="G69:G76" si="24">+F69-1.44</f>
        <v>3.9460799999999998</v>
      </c>
      <c r="H69">
        <v>0.82</v>
      </c>
      <c r="I69">
        <f t="shared" si="22"/>
        <v>4.8122926829268291</v>
      </c>
      <c r="N69">
        <v>-2.2988801791713376E-3</v>
      </c>
      <c r="O69">
        <v>0</v>
      </c>
    </row>
    <row r="70" spans="1:15">
      <c r="A70">
        <v>3</v>
      </c>
      <c r="B70">
        <v>5.16</v>
      </c>
      <c r="C70">
        <v>3.11</v>
      </c>
      <c r="D70">
        <v>108</v>
      </c>
      <c r="E70">
        <f t="shared" si="21"/>
        <v>2.5920000000000005</v>
      </c>
      <c r="F70">
        <f t="shared" si="23"/>
        <v>5.5209600000000023</v>
      </c>
      <c r="G70">
        <f t="shared" si="24"/>
        <v>4.0809600000000028</v>
      </c>
      <c r="H70">
        <v>0.89</v>
      </c>
      <c r="I70">
        <f t="shared" si="22"/>
        <v>4.5853483146067449</v>
      </c>
      <c r="N70">
        <v>9.075483115362085E-3</v>
      </c>
      <c r="O70">
        <f t="shared" ref="O70:O75" si="25">(N70/H70)</f>
        <v>1.019717203973268E-2</v>
      </c>
    </row>
    <row r="71" spans="1:15">
      <c r="A71">
        <v>4</v>
      </c>
      <c r="B71">
        <v>5.18</v>
      </c>
      <c r="C71">
        <v>3.18</v>
      </c>
      <c r="D71">
        <v>102</v>
      </c>
      <c r="E71">
        <f t="shared" si="21"/>
        <v>2.448</v>
      </c>
      <c r="F71">
        <f t="shared" si="23"/>
        <v>5.0428800000000003</v>
      </c>
      <c r="G71">
        <f t="shared" si="24"/>
        <v>3.6028800000000003</v>
      </c>
      <c r="H71">
        <v>0.93</v>
      </c>
      <c r="I71">
        <f t="shared" si="22"/>
        <v>3.8740645161290326</v>
      </c>
      <c r="N71">
        <v>7.0598904571308125E-3</v>
      </c>
      <c r="O71">
        <f t="shared" si="25"/>
        <v>7.5912800614309807E-3</v>
      </c>
    </row>
    <row r="72" spans="1:15">
      <c r="A72">
        <v>5</v>
      </c>
      <c r="B72">
        <v>5.16</v>
      </c>
      <c r="C72">
        <v>3.31</v>
      </c>
      <c r="D72">
        <v>125</v>
      </c>
      <c r="E72">
        <f t="shared" si="21"/>
        <v>3</v>
      </c>
      <c r="F72">
        <f t="shared" si="23"/>
        <v>5.7900000000000009</v>
      </c>
      <c r="G72">
        <f t="shared" si="24"/>
        <v>4.3500000000000014</v>
      </c>
      <c r="H72">
        <v>0.78</v>
      </c>
      <c r="I72">
        <f t="shared" si="22"/>
        <v>5.5769230769230784</v>
      </c>
      <c r="N72">
        <v>-6.5405506883604589E-3</v>
      </c>
      <c r="O72">
        <v>0</v>
      </c>
    </row>
    <row r="73" spans="1:15">
      <c r="A73">
        <v>6</v>
      </c>
      <c r="B73">
        <v>5.15</v>
      </c>
      <c r="C73">
        <v>3.62</v>
      </c>
      <c r="D73">
        <v>95</v>
      </c>
      <c r="E73">
        <f t="shared" si="21"/>
        <v>2.2799999999999998</v>
      </c>
      <c r="F73">
        <f t="shared" si="23"/>
        <v>3.6936</v>
      </c>
      <c r="G73">
        <f t="shared" si="24"/>
        <v>2.2536</v>
      </c>
      <c r="H73">
        <v>0.78</v>
      </c>
      <c r="I73">
        <f t="shared" si="22"/>
        <v>2.8892307692307693</v>
      </c>
      <c r="N73">
        <v>7.9810750279955146E-3</v>
      </c>
      <c r="O73">
        <f t="shared" si="25"/>
        <v>1.023214747178912E-2</v>
      </c>
    </row>
    <row r="74" spans="1:15">
      <c r="A74">
        <v>7</v>
      </c>
      <c r="B74" t="s">
        <v>5</v>
      </c>
      <c r="C74">
        <v>4.2</v>
      </c>
      <c r="D74">
        <v>98</v>
      </c>
      <c r="E74">
        <f t="shared" si="21"/>
        <v>2.3519999999999999</v>
      </c>
      <c r="F74">
        <f t="shared" si="23"/>
        <v>2.4460799999999998</v>
      </c>
      <c r="G74">
        <f t="shared" si="24"/>
        <v>1.0060799999999999</v>
      </c>
      <c r="H74">
        <v>0.64</v>
      </c>
      <c r="I74">
        <f t="shared" si="22"/>
        <v>1.5719999999999998</v>
      </c>
      <c r="N74">
        <v>1.0712723825574035E-2</v>
      </c>
      <c r="O74">
        <f t="shared" si="25"/>
        <v>1.673863097745943E-2</v>
      </c>
    </row>
    <row r="75" spans="1:15">
      <c r="A75">
        <v>8</v>
      </c>
      <c r="B75">
        <f>+AVERAGE(B68:B73)</f>
        <v>5.2366666666666672</v>
      </c>
      <c r="C75">
        <v>3.71</v>
      </c>
      <c r="D75">
        <v>116</v>
      </c>
      <c r="E75">
        <f t="shared" si="21"/>
        <v>2.7839999999999998</v>
      </c>
      <c r="F75">
        <f t="shared" si="23"/>
        <v>4.2595200000000002</v>
      </c>
      <c r="G75">
        <f t="shared" si="24"/>
        <v>2.8195200000000002</v>
      </c>
      <c r="H75">
        <v>0.74</v>
      </c>
      <c r="I75">
        <f t="shared" si="22"/>
        <v>3.8101621621621624</v>
      </c>
      <c r="N75">
        <v>6.432932469935302E-4</v>
      </c>
      <c r="O75">
        <f t="shared" si="25"/>
        <v>8.6931519863990569E-4</v>
      </c>
    </row>
    <row r="76" spans="1:15">
      <c r="A76">
        <v>9</v>
      </c>
      <c r="C76">
        <v>4.25</v>
      </c>
      <c r="D76">
        <v>93</v>
      </c>
      <c r="E76">
        <f t="shared" si="21"/>
        <v>2.2320000000000002</v>
      </c>
      <c r="F76">
        <f t="shared" si="23"/>
        <v>2.2096800000000005</v>
      </c>
      <c r="G76">
        <f t="shared" si="24"/>
        <v>0.76968000000000059</v>
      </c>
      <c r="H76">
        <v>0.48</v>
      </c>
      <c r="I76">
        <f t="shared" si="22"/>
        <v>1.6035000000000013</v>
      </c>
      <c r="N76">
        <v>-2.0701222272521678E-3</v>
      </c>
      <c r="O76">
        <v>0</v>
      </c>
    </row>
    <row r="77" spans="1:15">
      <c r="A77" t="s">
        <v>35</v>
      </c>
      <c r="C77">
        <v>4.58</v>
      </c>
      <c r="D77">
        <v>91</v>
      </c>
      <c r="E77">
        <f t="shared" si="21"/>
        <v>2.1840000000000002</v>
      </c>
      <c r="F77">
        <f t="shared" si="23"/>
        <v>1.4414400000000005</v>
      </c>
    </row>
    <row r="79" spans="1:15">
      <c r="C79">
        <f t="shared" ref="C79:L79" si="26">+AVERAGE(C68:C77)</f>
        <v>3.5869999999999997</v>
      </c>
      <c r="D79">
        <f t="shared" si="26"/>
        <v>102.8</v>
      </c>
      <c r="E79">
        <f t="shared" si="26"/>
        <v>2.4671999999999996</v>
      </c>
      <c r="F79">
        <f t="shared" si="26"/>
        <v>4.1371680000000008</v>
      </c>
      <c r="G79">
        <f t="shared" si="26"/>
        <v>2.9966933333333343</v>
      </c>
      <c r="H79">
        <f t="shared" si="26"/>
        <v>0.79333333333333345</v>
      </c>
      <c r="I79">
        <f t="shared" si="26"/>
        <v>3.617576465405032</v>
      </c>
      <c r="J79" t="e">
        <f t="shared" si="26"/>
        <v>#DIV/0!</v>
      </c>
      <c r="K79" t="e">
        <f t="shared" si="26"/>
        <v>#DIV/0!</v>
      </c>
      <c r="L79" t="e">
        <f t="shared" si="26"/>
        <v>#DIV/0!</v>
      </c>
      <c r="O79">
        <f>+AVERAGE(O68:O77)</f>
        <v>9.6118511057371563E-3</v>
      </c>
    </row>
    <row r="86" spans="1:15">
      <c r="A86" t="s">
        <v>42</v>
      </c>
      <c r="C86" t="s">
        <v>43</v>
      </c>
    </row>
    <row r="87" spans="1:15">
      <c r="B87" t="s">
        <v>13</v>
      </c>
      <c r="D87" t="s">
        <v>14</v>
      </c>
      <c r="E87" t="s">
        <v>14</v>
      </c>
      <c r="F87" t="s">
        <v>15</v>
      </c>
      <c r="H87" t="s">
        <v>16</v>
      </c>
      <c r="I87" t="s">
        <v>10</v>
      </c>
      <c r="K87" t="s">
        <v>17</v>
      </c>
      <c r="L87" t="s">
        <v>10</v>
      </c>
      <c r="N87" t="s">
        <v>18</v>
      </c>
      <c r="O87" t="s">
        <v>19</v>
      </c>
    </row>
    <row r="88" spans="1:15">
      <c r="A88" t="s">
        <v>24</v>
      </c>
      <c r="B88" t="s">
        <v>25</v>
      </c>
      <c r="C88" t="s">
        <v>37</v>
      </c>
      <c r="D88" t="s">
        <v>27</v>
      </c>
      <c r="E88" t="s">
        <v>28</v>
      </c>
      <c r="F88" t="s">
        <v>29</v>
      </c>
      <c r="G88" t="s">
        <v>30</v>
      </c>
      <c r="H88" t="s">
        <v>31</v>
      </c>
      <c r="I88" t="s">
        <v>32</v>
      </c>
      <c r="K88" t="s">
        <v>31</v>
      </c>
      <c r="L88" t="s">
        <v>33</v>
      </c>
      <c r="O88" t="s">
        <v>34</v>
      </c>
    </row>
    <row r="89" spans="1:15">
      <c r="A89">
        <v>1</v>
      </c>
      <c r="B89">
        <v>5.38</v>
      </c>
      <c r="C89">
        <v>2.99</v>
      </c>
      <c r="D89">
        <v>102</v>
      </c>
      <c r="E89">
        <f t="shared" ref="E89:E98" si="27">+(((D89/50)*60)*20)/1000</f>
        <v>2.448</v>
      </c>
      <c r="F89">
        <f>(5.31-C89)*E89</f>
        <v>5.6793599999999982</v>
      </c>
      <c r="G89">
        <f>+F89-1.94</f>
        <v>3.7393599999999982</v>
      </c>
      <c r="H89">
        <v>1.08</v>
      </c>
      <c r="I89">
        <f t="shared" ref="I89:I97" si="28">+G89/H89</f>
        <v>3.4623703703703685</v>
      </c>
      <c r="N89">
        <v>2.7395673076923081E-2</v>
      </c>
      <c r="O89">
        <f>(N89/H89)</f>
        <v>2.5366363960113963E-2</v>
      </c>
    </row>
    <row r="90" spans="1:15">
      <c r="A90">
        <v>2</v>
      </c>
      <c r="B90">
        <v>5.21</v>
      </c>
      <c r="C90">
        <v>3.28</v>
      </c>
      <c r="D90">
        <v>98</v>
      </c>
      <c r="E90">
        <f t="shared" si="27"/>
        <v>2.3519999999999999</v>
      </c>
      <c r="F90">
        <f t="shared" ref="F90:F98" si="29">(5.31-C90)*E90</f>
        <v>4.7745599999999992</v>
      </c>
      <c r="G90">
        <f t="shared" ref="G90:G97" si="30">+F90-1.94</f>
        <v>2.8345599999999993</v>
      </c>
      <c r="H90">
        <v>0.82</v>
      </c>
      <c r="I90">
        <f t="shared" si="28"/>
        <v>3.4567804878048776</v>
      </c>
      <c r="N90">
        <v>-3.8958646616541314E-3</v>
      </c>
      <c r="O90">
        <v>0</v>
      </c>
    </row>
    <row r="91" spans="1:15">
      <c r="A91">
        <v>3</v>
      </c>
      <c r="B91">
        <v>5.34</v>
      </c>
      <c r="C91">
        <v>3.27</v>
      </c>
      <c r="D91">
        <v>108</v>
      </c>
      <c r="E91">
        <f t="shared" si="27"/>
        <v>2.5920000000000005</v>
      </c>
      <c r="F91">
        <f t="shared" si="29"/>
        <v>5.2876799999999999</v>
      </c>
      <c r="G91">
        <f t="shared" si="30"/>
        <v>3.34768</v>
      </c>
      <c r="H91">
        <v>0.89</v>
      </c>
      <c r="I91">
        <f t="shared" si="28"/>
        <v>3.7614382022471911</v>
      </c>
      <c r="N91">
        <v>-3.109921363040629E-2</v>
      </c>
      <c r="O91">
        <v>0</v>
      </c>
    </row>
    <row r="92" spans="1:15">
      <c r="A92">
        <v>4</v>
      </c>
      <c r="B92">
        <v>5.25</v>
      </c>
      <c r="C92">
        <v>3.45</v>
      </c>
      <c r="D92">
        <v>102</v>
      </c>
      <c r="E92">
        <f t="shared" si="27"/>
        <v>2.448</v>
      </c>
      <c r="F92">
        <f t="shared" si="29"/>
        <v>4.5532799999999982</v>
      </c>
      <c r="G92">
        <f t="shared" si="30"/>
        <v>2.6132799999999983</v>
      </c>
      <c r="H92">
        <v>0.93</v>
      </c>
      <c r="I92">
        <f t="shared" si="28"/>
        <v>2.8099784946236541</v>
      </c>
      <c r="N92">
        <v>-1.1840594059405936E-2</v>
      </c>
      <c r="O92">
        <v>0</v>
      </c>
    </row>
    <row r="93" spans="1:15">
      <c r="A93">
        <v>5</v>
      </c>
      <c r="B93">
        <v>5.35</v>
      </c>
      <c r="C93">
        <v>3.36</v>
      </c>
      <c r="D93">
        <v>125</v>
      </c>
      <c r="E93">
        <f t="shared" si="27"/>
        <v>3</v>
      </c>
      <c r="F93">
        <f t="shared" si="29"/>
        <v>5.85</v>
      </c>
      <c r="G93">
        <f t="shared" si="30"/>
        <v>3.9099999999999997</v>
      </c>
      <c r="H93">
        <v>0.78</v>
      </c>
      <c r="I93">
        <f t="shared" si="28"/>
        <v>5.0128205128205119</v>
      </c>
      <c r="N93">
        <v>1.5899369747899177E-2</v>
      </c>
      <c r="O93">
        <f t="shared" ref="O93:O96" si="31">(N93/H93)</f>
        <v>2.0383807369101507E-2</v>
      </c>
    </row>
    <row r="94" spans="1:15">
      <c r="A94">
        <v>6</v>
      </c>
      <c r="B94">
        <v>5.37</v>
      </c>
      <c r="C94">
        <v>3.73</v>
      </c>
      <c r="D94">
        <v>95</v>
      </c>
      <c r="E94">
        <f t="shared" si="27"/>
        <v>2.2799999999999998</v>
      </c>
      <c r="F94">
        <f t="shared" si="29"/>
        <v>3.6023999999999989</v>
      </c>
      <c r="G94">
        <f t="shared" si="30"/>
        <v>1.662399999999999</v>
      </c>
      <c r="H94">
        <v>0.78</v>
      </c>
      <c r="I94">
        <f t="shared" si="28"/>
        <v>2.1312820512820498</v>
      </c>
      <c r="N94">
        <v>-1.0199248120300753E-3</v>
      </c>
      <c r="O94">
        <v>0</v>
      </c>
    </row>
    <row r="95" spans="1:15">
      <c r="A95">
        <v>7</v>
      </c>
      <c r="B95" t="s">
        <v>5</v>
      </c>
      <c r="C95">
        <v>4.12</v>
      </c>
      <c r="D95">
        <v>98</v>
      </c>
      <c r="E95">
        <f t="shared" si="27"/>
        <v>2.3519999999999999</v>
      </c>
      <c r="F95">
        <f t="shared" si="29"/>
        <v>2.7988799999999987</v>
      </c>
      <c r="G95">
        <f t="shared" si="30"/>
        <v>0.85887999999999876</v>
      </c>
      <c r="H95">
        <v>0.64</v>
      </c>
      <c r="I95">
        <f t="shared" si="28"/>
        <v>1.3419999999999981</v>
      </c>
      <c r="N95">
        <v>-4.7171852899575654E-3</v>
      </c>
      <c r="O95">
        <v>0</v>
      </c>
    </row>
    <row r="96" spans="1:15">
      <c r="A96">
        <v>8</v>
      </c>
      <c r="B96">
        <f>+AVERAGE(B89:B94)</f>
        <v>5.3166666666666673</v>
      </c>
      <c r="C96">
        <v>3.72</v>
      </c>
      <c r="D96">
        <v>116</v>
      </c>
      <c r="E96">
        <f t="shared" si="27"/>
        <v>2.7839999999999998</v>
      </c>
      <c r="F96">
        <f t="shared" si="29"/>
        <v>4.4265599999999985</v>
      </c>
      <c r="G96">
        <f t="shared" si="30"/>
        <v>2.4865599999999985</v>
      </c>
      <c r="H96">
        <v>0.74</v>
      </c>
      <c r="I96">
        <f t="shared" si="28"/>
        <v>3.3602162162162141</v>
      </c>
      <c r="N96">
        <v>2.3579425465838532E-2</v>
      </c>
      <c r="O96">
        <f t="shared" si="31"/>
        <v>3.1864088467349366E-2</v>
      </c>
    </row>
    <row r="97" spans="1:15">
      <c r="A97">
        <v>9</v>
      </c>
      <c r="C97">
        <v>4.16</v>
      </c>
      <c r="D97">
        <v>93</v>
      </c>
      <c r="E97">
        <f t="shared" si="27"/>
        <v>2.2320000000000002</v>
      </c>
      <c r="F97">
        <f t="shared" si="29"/>
        <v>2.5667999999999989</v>
      </c>
      <c r="G97">
        <f t="shared" si="30"/>
        <v>0.62679999999999891</v>
      </c>
      <c r="H97">
        <v>0.48</v>
      </c>
      <c r="I97">
        <f t="shared" si="28"/>
        <v>1.3058333333333312</v>
      </c>
      <c r="N97">
        <v>-6.8077507598783386E-4</v>
      </c>
      <c r="O97">
        <v>0</v>
      </c>
    </row>
    <row r="98" spans="1:15">
      <c r="A98" t="s">
        <v>35</v>
      </c>
      <c r="C98">
        <v>4.42</v>
      </c>
      <c r="D98">
        <v>91</v>
      </c>
      <c r="E98">
        <f t="shared" si="27"/>
        <v>2.1840000000000002</v>
      </c>
      <c r="F98">
        <f t="shared" si="29"/>
        <v>1.9437599999999995</v>
      </c>
    </row>
    <row r="100" spans="1:15">
      <c r="C100">
        <f t="shared" ref="C100:L100" si="32">+AVERAGE(C89:C98)</f>
        <v>3.65</v>
      </c>
      <c r="D100">
        <f t="shared" si="32"/>
        <v>102.8</v>
      </c>
      <c r="E100">
        <f t="shared" si="32"/>
        <v>2.4671999999999996</v>
      </c>
      <c r="F100">
        <f t="shared" si="32"/>
        <v>4.1483279999999993</v>
      </c>
      <c r="G100">
        <f t="shared" si="32"/>
        <v>2.4532799999999986</v>
      </c>
      <c r="H100">
        <f t="shared" si="32"/>
        <v>0.79333333333333345</v>
      </c>
      <c r="I100">
        <f t="shared" si="32"/>
        <v>2.9603021854109111</v>
      </c>
      <c r="J100" t="e">
        <f t="shared" si="32"/>
        <v>#DIV/0!</v>
      </c>
      <c r="K100" t="e">
        <f t="shared" si="32"/>
        <v>#DIV/0!</v>
      </c>
      <c r="L100" t="e">
        <f t="shared" si="32"/>
        <v>#DIV/0!</v>
      </c>
      <c r="O100">
        <f>+AVERAGE(O89:O98)</f>
        <v>8.6238066440627592E-3</v>
      </c>
    </row>
    <row r="106" spans="1:15">
      <c r="A106" t="s">
        <v>44</v>
      </c>
      <c r="C106" t="s">
        <v>45</v>
      </c>
    </row>
    <row r="107" spans="1:15">
      <c r="B107" t="s">
        <v>13</v>
      </c>
      <c r="D107" t="s">
        <v>14</v>
      </c>
      <c r="E107" t="s">
        <v>14</v>
      </c>
      <c r="F107" t="s">
        <v>15</v>
      </c>
      <c r="H107" t="s">
        <v>16</v>
      </c>
      <c r="I107" t="s">
        <v>10</v>
      </c>
      <c r="K107" t="s">
        <v>17</v>
      </c>
      <c r="L107" t="s">
        <v>10</v>
      </c>
      <c r="O107" t="s">
        <v>19</v>
      </c>
    </row>
    <row r="108" spans="1:15">
      <c r="A108" t="s">
        <v>24</v>
      </c>
      <c r="B108" t="s">
        <v>25</v>
      </c>
      <c r="C108" t="s">
        <v>37</v>
      </c>
      <c r="D108" t="s">
        <v>27</v>
      </c>
      <c r="E108" t="s">
        <v>28</v>
      </c>
      <c r="F108" t="s">
        <v>29</v>
      </c>
      <c r="G108" t="s">
        <v>30</v>
      </c>
      <c r="H108" t="s">
        <v>31</v>
      </c>
      <c r="I108" t="s">
        <v>32</v>
      </c>
      <c r="K108" t="s">
        <v>31</v>
      </c>
      <c r="L108" t="s">
        <v>33</v>
      </c>
      <c r="O108" t="s">
        <v>34</v>
      </c>
    </row>
    <row r="109" spans="1:15">
      <c r="A109">
        <v>1</v>
      </c>
      <c r="B109">
        <v>5.39</v>
      </c>
      <c r="C109">
        <v>2.95</v>
      </c>
      <c r="D109">
        <v>102</v>
      </c>
      <c r="E109">
        <f t="shared" ref="E109:E118" si="33">+(((D109/50)*60)*20)/1000</f>
        <v>2.448</v>
      </c>
      <c r="F109">
        <f>(5.44-C109)*E109</f>
        <v>6.0955200000000005</v>
      </c>
      <c r="G109">
        <f>+F109-1.59</f>
        <v>4.5055200000000006</v>
      </c>
      <c r="H109">
        <v>1.08</v>
      </c>
      <c r="I109">
        <f t="shared" ref="I109:I117" si="34">+G109/H109</f>
        <v>4.1717777777777778</v>
      </c>
      <c r="O109">
        <f t="shared" ref="O109:O113" si="35">(N90/H109)</f>
        <v>-3.6072820941241957E-3</v>
      </c>
    </row>
    <row r="110" spans="1:15">
      <c r="A110">
        <v>2</v>
      </c>
      <c r="B110">
        <v>5.35</v>
      </c>
      <c r="C110">
        <v>3.32</v>
      </c>
      <c r="D110">
        <v>98</v>
      </c>
      <c r="E110">
        <f t="shared" si="33"/>
        <v>2.3519999999999999</v>
      </c>
      <c r="F110">
        <f t="shared" ref="F110:F118" si="36">(5.44-C110)*E110</f>
        <v>4.9862400000000013</v>
      </c>
      <c r="G110">
        <f t="shared" ref="G110:G117" si="37">+F110-1.59</f>
        <v>3.3962400000000015</v>
      </c>
      <c r="H110">
        <v>0.82</v>
      </c>
      <c r="I110">
        <f t="shared" si="34"/>
        <v>4.141756097560978</v>
      </c>
      <c r="O110">
        <f t="shared" si="35"/>
        <v>-3.7925870280983286E-2</v>
      </c>
    </row>
    <row r="111" spans="1:15">
      <c r="A111">
        <v>3</v>
      </c>
      <c r="B111">
        <v>5.43</v>
      </c>
      <c r="C111">
        <v>3.43</v>
      </c>
      <c r="D111">
        <v>108</v>
      </c>
      <c r="E111">
        <f t="shared" si="33"/>
        <v>2.5920000000000005</v>
      </c>
      <c r="F111">
        <f t="shared" si="36"/>
        <v>5.2099200000000012</v>
      </c>
      <c r="G111">
        <f t="shared" si="37"/>
        <v>3.6199200000000014</v>
      </c>
      <c r="H111">
        <v>0.89</v>
      </c>
      <c r="I111">
        <f t="shared" si="34"/>
        <v>4.067325842696631</v>
      </c>
      <c r="O111">
        <f t="shared" si="35"/>
        <v>-1.3304038268995434E-2</v>
      </c>
    </row>
    <row r="112" spans="1:15">
      <c r="A112">
        <v>4</v>
      </c>
      <c r="B112">
        <v>5.42</v>
      </c>
      <c r="C112">
        <v>3.48</v>
      </c>
      <c r="D112">
        <v>102</v>
      </c>
      <c r="E112">
        <f t="shared" si="33"/>
        <v>2.448</v>
      </c>
      <c r="F112">
        <f t="shared" si="36"/>
        <v>4.7980800000000006</v>
      </c>
      <c r="G112">
        <f t="shared" si="37"/>
        <v>3.2080800000000007</v>
      </c>
      <c r="H112">
        <v>0.93</v>
      </c>
      <c r="I112">
        <f t="shared" si="34"/>
        <v>3.4495483870967747</v>
      </c>
      <c r="O112">
        <f t="shared" si="35"/>
        <v>1.7096096503117393E-2</v>
      </c>
    </row>
    <row r="113" spans="1:15">
      <c r="A113">
        <v>5</v>
      </c>
      <c r="B113">
        <v>5.49</v>
      </c>
      <c r="C113">
        <v>3.43</v>
      </c>
      <c r="D113">
        <v>125</v>
      </c>
      <c r="E113">
        <f t="shared" si="33"/>
        <v>3</v>
      </c>
      <c r="F113">
        <f t="shared" si="36"/>
        <v>6.0300000000000011</v>
      </c>
      <c r="G113">
        <f t="shared" si="37"/>
        <v>4.4400000000000013</v>
      </c>
      <c r="H113">
        <v>0.78</v>
      </c>
      <c r="I113">
        <f t="shared" si="34"/>
        <v>5.6923076923076934</v>
      </c>
      <c r="O113">
        <f t="shared" si="35"/>
        <v>-1.3075959128590708E-3</v>
      </c>
    </row>
    <row r="114" spans="1:15">
      <c r="A114">
        <v>6</v>
      </c>
      <c r="B114">
        <v>5.53</v>
      </c>
      <c r="C114">
        <v>3.91</v>
      </c>
      <c r="D114">
        <v>95</v>
      </c>
      <c r="E114">
        <f t="shared" si="33"/>
        <v>2.2799999999999998</v>
      </c>
      <c r="F114">
        <f t="shared" si="36"/>
        <v>3.4884000000000004</v>
      </c>
      <c r="G114">
        <f t="shared" si="37"/>
        <v>1.8984000000000003</v>
      </c>
      <c r="H114">
        <v>0.78</v>
      </c>
      <c r="I114">
        <f t="shared" si="34"/>
        <v>2.433846153846154</v>
      </c>
      <c r="O114">
        <f t="shared" ref="O114:O117" si="38">(N115/H114)</f>
        <v>0</v>
      </c>
    </row>
    <row r="115" spans="1:15">
      <c r="A115">
        <v>7</v>
      </c>
      <c r="B115" t="s">
        <v>5</v>
      </c>
      <c r="C115">
        <v>4.03</v>
      </c>
      <c r="D115">
        <v>98</v>
      </c>
      <c r="E115">
        <f t="shared" si="33"/>
        <v>2.3519999999999999</v>
      </c>
      <c r="F115">
        <f t="shared" si="36"/>
        <v>3.3163200000000002</v>
      </c>
      <c r="G115">
        <f t="shared" si="37"/>
        <v>1.7263200000000001</v>
      </c>
      <c r="H115">
        <v>0.64</v>
      </c>
      <c r="I115">
        <f t="shared" si="34"/>
        <v>2.6973750000000001</v>
      </c>
      <c r="O115">
        <f t="shared" si="38"/>
        <v>0</v>
      </c>
    </row>
    <row r="116" spans="1:15">
      <c r="A116">
        <v>8</v>
      </c>
      <c r="B116">
        <f>+AVERAGE(B109:B114)</f>
        <v>5.4349999999999996</v>
      </c>
      <c r="C116">
        <v>3.86</v>
      </c>
      <c r="D116">
        <v>116</v>
      </c>
      <c r="E116">
        <f t="shared" si="33"/>
        <v>2.7839999999999998</v>
      </c>
      <c r="F116">
        <f t="shared" si="36"/>
        <v>4.3987200000000009</v>
      </c>
      <c r="G116">
        <f t="shared" si="37"/>
        <v>2.808720000000001</v>
      </c>
      <c r="H116">
        <v>0.74</v>
      </c>
      <c r="I116">
        <f t="shared" si="34"/>
        <v>3.7955675675675691</v>
      </c>
      <c r="O116">
        <f t="shared" si="38"/>
        <v>0</v>
      </c>
    </row>
    <row r="117" spans="1:15">
      <c r="A117">
        <v>9</v>
      </c>
      <c r="C117">
        <v>4.33</v>
      </c>
      <c r="D117">
        <v>93</v>
      </c>
      <c r="E117">
        <f t="shared" si="33"/>
        <v>2.2320000000000002</v>
      </c>
      <c r="F117">
        <f t="shared" si="36"/>
        <v>2.4775200000000011</v>
      </c>
      <c r="G117">
        <f t="shared" si="37"/>
        <v>0.88752000000000097</v>
      </c>
      <c r="H117">
        <v>0.48</v>
      </c>
      <c r="I117">
        <f t="shared" si="34"/>
        <v>1.8490000000000022</v>
      </c>
      <c r="O117">
        <f t="shared" si="38"/>
        <v>0</v>
      </c>
    </row>
    <row r="118" spans="1:15">
      <c r="A118" t="s">
        <v>35</v>
      </c>
      <c r="C118">
        <v>4.71</v>
      </c>
      <c r="D118">
        <v>91</v>
      </c>
      <c r="E118">
        <f t="shared" si="33"/>
        <v>2.1840000000000002</v>
      </c>
      <c r="F118">
        <f t="shared" si="36"/>
        <v>1.5943200000000011</v>
      </c>
    </row>
    <row r="120" spans="1:15">
      <c r="C120">
        <f t="shared" ref="C120:L120" si="39">+AVERAGE(C109:C118)</f>
        <v>3.7450000000000001</v>
      </c>
      <c r="D120">
        <f t="shared" si="39"/>
        <v>102.8</v>
      </c>
      <c r="E120">
        <f t="shared" si="39"/>
        <v>2.4671999999999996</v>
      </c>
      <c r="F120">
        <f t="shared" si="39"/>
        <v>4.2395040000000002</v>
      </c>
      <c r="G120">
        <f t="shared" si="39"/>
        <v>2.9434133333333339</v>
      </c>
      <c r="H120">
        <f t="shared" si="39"/>
        <v>0.79333333333333345</v>
      </c>
      <c r="I120">
        <f t="shared" si="39"/>
        <v>3.5887227243170647</v>
      </c>
      <c r="J120" t="e">
        <f t="shared" si="39"/>
        <v>#DIV/0!</v>
      </c>
      <c r="K120" t="e">
        <f t="shared" si="39"/>
        <v>#DIV/0!</v>
      </c>
      <c r="L120" t="e">
        <f t="shared" si="39"/>
        <v>#DIV/0!</v>
      </c>
      <c r="O120">
        <f>+AVERAGE(O109:O118)</f>
        <v>-4.3387433393160656E-3</v>
      </c>
    </row>
    <row r="125" spans="1:15">
      <c r="A125" t="s">
        <v>46</v>
      </c>
      <c r="C125" t="s">
        <v>47</v>
      </c>
    </row>
    <row r="126" spans="1:15">
      <c r="B126" t="s">
        <v>13</v>
      </c>
      <c r="D126" t="s">
        <v>14</v>
      </c>
      <c r="E126" t="s">
        <v>14</v>
      </c>
      <c r="F126" t="s">
        <v>15</v>
      </c>
      <c r="H126" t="s">
        <v>16</v>
      </c>
      <c r="I126" t="s">
        <v>10</v>
      </c>
      <c r="K126" t="s">
        <v>17</v>
      </c>
      <c r="L126" t="s">
        <v>10</v>
      </c>
      <c r="O126" t="s">
        <v>19</v>
      </c>
    </row>
    <row r="127" spans="1:15">
      <c r="A127" t="s">
        <v>24</v>
      </c>
      <c r="B127" t="s">
        <v>25</v>
      </c>
      <c r="C127" t="s">
        <v>37</v>
      </c>
      <c r="D127" t="s">
        <v>27</v>
      </c>
      <c r="E127" t="s">
        <v>28</v>
      </c>
      <c r="F127" t="s">
        <v>29</v>
      </c>
      <c r="G127" t="s">
        <v>30</v>
      </c>
      <c r="H127" t="s">
        <v>31</v>
      </c>
      <c r="I127" t="s">
        <v>32</v>
      </c>
      <c r="K127" t="s">
        <v>31</v>
      </c>
      <c r="L127" t="s">
        <v>33</v>
      </c>
      <c r="O127" t="s">
        <v>34</v>
      </c>
    </row>
    <row r="128" spans="1:15">
      <c r="A128">
        <v>1</v>
      </c>
      <c r="B128">
        <v>5.53</v>
      </c>
      <c r="C128">
        <v>3.46</v>
      </c>
      <c r="D128">
        <v>102</v>
      </c>
      <c r="E128">
        <f t="shared" ref="E128:E137" si="40">+(((D128/50)*60)*20)/1000</f>
        <v>2.448</v>
      </c>
      <c r="F128">
        <f>(5.52-C128)*E128</f>
        <v>5.0428799999999994</v>
      </c>
      <c r="G128">
        <f>+F128-1.74</f>
        <v>3.3028799999999991</v>
      </c>
      <c r="H128">
        <v>1.08</v>
      </c>
      <c r="I128">
        <f t="shared" ref="I128:I136" si="41">+G128/H128</f>
        <v>3.0582222222222213</v>
      </c>
      <c r="O128">
        <f t="shared" ref="O128:O132" si="42">(N115/H128)</f>
        <v>0</v>
      </c>
    </row>
    <row r="129" spans="1:15">
      <c r="A129">
        <v>2</v>
      </c>
      <c r="B129">
        <v>5.53</v>
      </c>
      <c r="C129">
        <v>3.48</v>
      </c>
      <c r="D129">
        <v>98</v>
      </c>
      <c r="E129">
        <f t="shared" si="40"/>
        <v>2.3519999999999999</v>
      </c>
      <c r="F129">
        <f t="shared" ref="F129:F137" si="43">(5.52-C129)*E129</f>
        <v>4.7980799999999988</v>
      </c>
      <c r="G129">
        <f t="shared" ref="G129:G136" si="44">+F129-1.74</f>
        <v>3.0580799999999986</v>
      </c>
      <c r="H129">
        <v>0.82</v>
      </c>
      <c r="I129">
        <f t="shared" si="41"/>
        <v>3.729365853658535</v>
      </c>
      <c r="O129">
        <f t="shared" si="42"/>
        <v>0</v>
      </c>
    </row>
    <row r="130" spans="1:15">
      <c r="A130">
        <v>3</v>
      </c>
      <c r="B130">
        <v>5.47</v>
      </c>
      <c r="C130">
        <v>3.46</v>
      </c>
      <c r="D130">
        <v>108</v>
      </c>
      <c r="E130">
        <f t="shared" si="40"/>
        <v>2.5920000000000005</v>
      </c>
      <c r="F130">
        <f t="shared" si="43"/>
        <v>5.3395200000000003</v>
      </c>
      <c r="G130">
        <f t="shared" si="44"/>
        <v>3.5995200000000001</v>
      </c>
      <c r="H130">
        <v>0.89</v>
      </c>
      <c r="I130">
        <f t="shared" si="41"/>
        <v>4.0444044943820225</v>
      </c>
      <c r="O130">
        <f t="shared" si="42"/>
        <v>0</v>
      </c>
    </row>
    <row r="131" spans="1:15">
      <c r="A131">
        <v>4</v>
      </c>
      <c r="B131">
        <v>5.46</v>
      </c>
      <c r="C131">
        <v>3.5</v>
      </c>
      <c r="D131">
        <v>102</v>
      </c>
      <c r="E131">
        <f t="shared" si="40"/>
        <v>2.448</v>
      </c>
      <c r="F131">
        <f t="shared" si="43"/>
        <v>4.9449599999999991</v>
      </c>
      <c r="G131">
        <f t="shared" si="44"/>
        <v>3.2049599999999989</v>
      </c>
      <c r="H131">
        <v>0.93</v>
      </c>
      <c r="I131">
        <f t="shared" si="41"/>
        <v>3.4461935483870954</v>
      </c>
      <c r="O131">
        <f t="shared" si="42"/>
        <v>0</v>
      </c>
    </row>
    <row r="132" spans="1:15">
      <c r="A132">
        <v>5</v>
      </c>
      <c r="B132">
        <v>5.56</v>
      </c>
      <c r="C132">
        <v>3.48</v>
      </c>
      <c r="D132">
        <v>125</v>
      </c>
      <c r="E132">
        <f t="shared" si="40"/>
        <v>3</v>
      </c>
      <c r="F132">
        <f t="shared" si="43"/>
        <v>6.1199999999999992</v>
      </c>
      <c r="G132">
        <f t="shared" si="44"/>
        <v>4.379999999999999</v>
      </c>
      <c r="H132">
        <v>0.78</v>
      </c>
      <c r="I132">
        <f t="shared" si="41"/>
        <v>5.6153846153846141</v>
      </c>
      <c r="O132">
        <f t="shared" si="42"/>
        <v>0</v>
      </c>
    </row>
    <row r="133" spans="1:15">
      <c r="A133">
        <v>6</v>
      </c>
      <c r="B133">
        <v>5.57</v>
      </c>
      <c r="C133">
        <v>3.85</v>
      </c>
      <c r="D133">
        <v>95</v>
      </c>
      <c r="E133">
        <f t="shared" si="40"/>
        <v>2.2799999999999998</v>
      </c>
      <c r="F133">
        <f t="shared" si="43"/>
        <v>3.8075999999999985</v>
      </c>
      <c r="G133">
        <f t="shared" si="44"/>
        <v>2.0675999999999988</v>
      </c>
      <c r="H133">
        <v>0.78</v>
      </c>
      <c r="I133">
        <f t="shared" si="41"/>
        <v>2.650769230769229</v>
      </c>
      <c r="O133">
        <f t="shared" ref="O133:O136" si="45">(N134/H133)</f>
        <v>0</v>
      </c>
    </row>
    <row r="134" spans="1:15">
      <c r="A134">
        <v>7</v>
      </c>
      <c r="B134" t="s">
        <v>5</v>
      </c>
      <c r="C134">
        <v>4.0999999999999996</v>
      </c>
      <c r="D134">
        <v>98</v>
      </c>
      <c r="E134">
        <f t="shared" si="40"/>
        <v>2.3519999999999999</v>
      </c>
      <c r="F134">
        <f t="shared" si="43"/>
        <v>3.3398399999999997</v>
      </c>
      <c r="G134">
        <f t="shared" si="44"/>
        <v>1.5998399999999997</v>
      </c>
      <c r="H134">
        <v>0.64</v>
      </c>
      <c r="I134">
        <f t="shared" si="41"/>
        <v>2.4997499999999997</v>
      </c>
      <c r="O134">
        <f t="shared" si="45"/>
        <v>0</v>
      </c>
    </row>
    <row r="135" spans="1:15">
      <c r="A135">
        <v>8</v>
      </c>
      <c r="B135">
        <f>+AVERAGE(B128:B133)</f>
        <v>5.5200000000000005</v>
      </c>
      <c r="C135">
        <v>4.08</v>
      </c>
      <c r="D135">
        <v>116</v>
      </c>
      <c r="E135">
        <f t="shared" si="40"/>
        <v>2.7839999999999998</v>
      </c>
      <c r="F135">
        <f t="shared" si="43"/>
        <v>4.0089599999999983</v>
      </c>
      <c r="G135">
        <f t="shared" si="44"/>
        <v>2.2689599999999981</v>
      </c>
      <c r="H135">
        <v>0.74</v>
      </c>
      <c r="I135">
        <f t="shared" si="41"/>
        <v>3.0661621621621595</v>
      </c>
      <c r="O135">
        <f t="shared" si="45"/>
        <v>0</v>
      </c>
    </row>
    <row r="136" spans="1:15">
      <c r="A136">
        <v>9</v>
      </c>
      <c r="C136">
        <v>4.34</v>
      </c>
      <c r="D136">
        <v>93</v>
      </c>
      <c r="E136">
        <f t="shared" si="40"/>
        <v>2.2320000000000002</v>
      </c>
      <c r="F136">
        <f t="shared" si="43"/>
        <v>2.6337599999999997</v>
      </c>
      <c r="G136">
        <f t="shared" si="44"/>
        <v>0.89375999999999967</v>
      </c>
      <c r="H136">
        <v>0.48</v>
      </c>
      <c r="I136">
        <f t="shared" si="41"/>
        <v>1.8619999999999994</v>
      </c>
      <c r="O136">
        <f t="shared" si="45"/>
        <v>0</v>
      </c>
    </row>
    <row r="137" spans="1:15">
      <c r="A137" t="s">
        <v>35</v>
      </c>
      <c r="C137">
        <v>4.72</v>
      </c>
      <c r="D137">
        <v>91</v>
      </c>
      <c r="E137">
        <f t="shared" si="40"/>
        <v>2.1840000000000002</v>
      </c>
      <c r="F137">
        <f t="shared" si="43"/>
        <v>1.7471999999999996</v>
      </c>
    </row>
    <row r="139" spans="1:15">
      <c r="C139">
        <f t="shared" ref="C139:L139" si="46">+AVERAGE(C128:C137)</f>
        <v>3.847</v>
      </c>
      <c r="D139">
        <f t="shared" si="46"/>
        <v>102.8</v>
      </c>
      <c r="E139">
        <f t="shared" si="46"/>
        <v>2.4671999999999996</v>
      </c>
      <c r="F139">
        <f t="shared" si="46"/>
        <v>4.1782799999999991</v>
      </c>
      <c r="G139">
        <f t="shared" si="46"/>
        <v>2.7083999999999993</v>
      </c>
      <c r="H139">
        <f t="shared" si="46"/>
        <v>0.79333333333333345</v>
      </c>
      <c r="I139">
        <f t="shared" si="46"/>
        <v>3.3302502363295416</v>
      </c>
      <c r="J139" t="e">
        <f t="shared" si="46"/>
        <v>#DIV/0!</v>
      </c>
      <c r="K139" t="e">
        <f t="shared" si="46"/>
        <v>#DIV/0!</v>
      </c>
      <c r="L139" t="e">
        <f t="shared" si="46"/>
        <v>#DIV/0!</v>
      </c>
      <c r="O139">
        <f>+AVERAGE(O128:O137)</f>
        <v>0</v>
      </c>
    </row>
    <row r="144" spans="1:15">
      <c r="A144" t="s">
        <v>48</v>
      </c>
      <c r="C144" t="s">
        <v>49</v>
      </c>
    </row>
    <row r="145" spans="1:15">
      <c r="B145" t="s">
        <v>13</v>
      </c>
      <c r="D145" t="s">
        <v>14</v>
      </c>
      <c r="E145" t="s">
        <v>14</v>
      </c>
      <c r="F145" t="s">
        <v>15</v>
      </c>
      <c r="H145" t="s">
        <v>16</v>
      </c>
      <c r="I145" t="s">
        <v>10</v>
      </c>
      <c r="K145" t="s">
        <v>17</v>
      </c>
      <c r="L145" t="s">
        <v>10</v>
      </c>
      <c r="O145" t="s">
        <v>19</v>
      </c>
    </row>
    <row r="146" spans="1:15">
      <c r="A146" t="s">
        <v>24</v>
      </c>
      <c r="B146" t="s">
        <v>25</v>
      </c>
      <c r="C146" t="s">
        <v>37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32</v>
      </c>
      <c r="K146" t="s">
        <v>31</v>
      </c>
      <c r="L146" t="s">
        <v>33</v>
      </c>
      <c r="O146" t="s">
        <v>34</v>
      </c>
    </row>
    <row r="147" spans="1:15">
      <c r="A147">
        <v>1</v>
      </c>
      <c r="B147">
        <v>5.37</v>
      </c>
      <c r="C147">
        <v>2.87</v>
      </c>
      <c r="D147">
        <v>102</v>
      </c>
      <c r="E147">
        <f t="shared" ref="E147:E156" si="47">+(((D147/50)*60)*20)/1000</f>
        <v>2.448</v>
      </c>
      <c r="F147">
        <f>(5.52-C147)*E147</f>
        <v>6.4871999999999987</v>
      </c>
      <c r="G147">
        <f>+F147-2.2</f>
        <v>4.2871999999999986</v>
      </c>
      <c r="H147">
        <v>1.08</v>
      </c>
      <c r="I147">
        <f t="shared" ref="I147:I155" si="48">+G147/H147</f>
        <v>3.9696296296296278</v>
      </c>
      <c r="O147">
        <f t="shared" ref="O147:O151" si="49">(N149/H147)</f>
        <v>0</v>
      </c>
    </row>
    <row r="148" spans="1:15">
      <c r="A148">
        <v>2</v>
      </c>
      <c r="B148">
        <v>5.4</v>
      </c>
      <c r="C148">
        <v>3.36</v>
      </c>
      <c r="D148">
        <v>98</v>
      </c>
      <c r="E148">
        <f t="shared" si="47"/>
        <v>2.3519999999999999</v>
      </c>
      <c r="F148">
        <f t="shared" ref="F148:F156" si="50">(5.52-C148)*E148</f>
        <v>5.0803199999999986</v>
      </c>
      <c r="G148">
        <f t="shared" ref="G148:G155" si="51">+F148-2.2</f>
        <v>2.8803199999999984</v>
      </c>
      <c r="H148">
        <v>0.82</v>
      </c>
      <c r="I148">
        <f t="shared" si="48"/>
        <v>3.5125853658536568</v>
      </c>
      <c r="O148">
        <f t="shared" si="49"/>
        <v>0</v>
      </c>
    </row>
    <row r="149" spans="1:15">
      <c r="A149">
        <v>3</v>
      </c>
      <c r="B149">
        <v>5.38</v>
      </c>
      <c r="C149">
        <v>3.41</v>
      </c>
      <c r="D149">
        <v>108</v>
      </c>
      <c r="E149">
        <f t="shared" si="47"/>
        <v>2.5920000000000005</v>
      </c>
      <c r="F149">
        <f t="shared" si="50"/>
        <v>5.4691199999999993</v>
      </c>
      <c r="G149">
        <f t="shared" si="51"/>
        <v>3.2691199999999991</v>
      </c>
      <c r="H149">
        <v>0.89</v>
      </c>
      <c r="I149">
        <f t="shared" si="48"/>
        <v>3.6731685393258418</v>
      </c>
      <c r="O149">
        <f t="shared" si="49"/>
        <v>0</v>
      </c>
    </row>
    <row r="150" spans="1:15">
      <c r="A150">
        <v>4</v>
      </c>
      <c r="B150">
        <v>5.3</v>
      </c>
      <c r="C150">
        <v>3.3</v>
      </c>
      <c r="D150">
        <v>102</v>
      </c>
      <c r="E150">
        <f t="shared" si="47"/>
        <v>2.448</v>
      </c>
      <c r="F150">
        <f t="shared" si="50"/>
        <v>5.4345599999999994</v>
      </c>
      <c r="G150">
        <f t="shared" si="51"/>
        <v>3.2345599999999992</v>
      </c>
      <c r="H150">
        <v>0.93</v>
      </c>
      <c r="I150">
        <f t="shared" si="48"/>
        <v>3.478021505376343</v>
      </c>
      <c r="O150">
        <f t="shared" si="49"/>
        <v>0</v>
      </c>
    </row>
    <row r="151" spans="1:15">
      <c r="A151">
        <v>5</v>
      </c>
      <c r="B151">
        <v>5.46</v>
      </c>
      <c r="C151">
        <v>3.42</v>
      </c>
      <c r="D151">
        <v>125</v>
      </c>
      <c r="E151">
        <f t="shared" si="47"/>
        <v>3</v>
      </c>
      <c r="F151">
        <f t="shared" si="50"/>
        <v>6.2999999999999989</v>
      </c>
      <c r="G151">
        <f t="shared" si="51"/>
        <v>4.0999999999999988</v>
      </c>
      <c r="H151">
        <v>0.78</v>
      </c>
      <c r="I151">
        <f t="shared" si="48"/>
        <v>5.2564102564102546</v>
      </c>
      <c r="O151">
        <f t="shared" si="49"/>
        <v>0</v>
      </c>
    </row>
    <row r="152" spans="1:15">
      <c r="A152">
        <v>6</v>
      </c>
      <c r="B152">
        <v>5.48</v>
      </c>
      <c r="C152">
        <v>3.68</v>
      </c>
      <c r="D152">
        <v>95</v>
      </c>
      <c r="E152">
        <f t="shared" si="47"/>
        <v>2.2799999999999998</v>
      </c>
      <c r="F152">
        <f t="shared" si="50"/>
        <v>4.195199999999998</v>
      </c>
      <c r="G152">
        <f t="shared" si="51"/>
        <v>1.9951999999999979</v>
      </c>
      <c r="H152">
        <v>0.78</v>
      </c>
      <c r="I152">
        <f t="shared" si="48"/>
        <v>2.5579487179487153</v>
      </c>
      <c r="O152">
        <f t="shared" ref="O152:O153" si="52">(N153/H152)</f>
        <v>0</v>
      </c>
    </row>
    <row r="153" spans="1:15">
      <c r="A153">
        <v>7</v>
      </c>
      <c r="B153" t="s">
        <v>5</v>
      </c>
      <c r="C153">
        <v>3.99</v>
      </c>
      <c r="D153">
        <v>98</v>
      </c>
      <c r="E153">
        <f t="shared" si="47"/>
        <v>2.3519999999999999</v>
      </c>
      <c r="F153">
        <f t="shared" si="50"/>
        <v>3.5985599999999982</v>
      </c>
      <c r="G153">
        <f t="shared" si="51"/>
        <v>1.398559999999998</v>
      </c>
      <c r="H153">
        <v>0.64</v>
      </c>
      <c r="I153">
        <f t="shared" si="48"/>
        <v>2.1852499999999968</v>
      </c>
      <c r="O153">
        <f t="shared" si="52"/>
        <v>0</v>
      </c>
    </row>
    <row r="154" spans="1:15">
      <c r="A154">
        <v>8</v>
      </c>
      <c r="B154">
        <f>+AVERAGE(B147:B152)</f>
        <v>5.3983333333333334</v>
      </c>
      <c r="C154">
        <v>3.81</v>
      </c>
      <c r="D154">
        <v>116</v>
      </c>
      <c r="E154">
        <f t="shared" si="47"/>
        <v>2.7839999999999998</v>
      </c>
      <c r="F154">
        <f t="shared" si="50"/>
        <v>4.7606399999999987</v>
      </c>
      <c r="G154">
        <f t="shared" si="51"/>
        <v>2.5606399999999985</v>
      </c>
      <c r="H154">
        <v>0.74</v>
      </c>
      <c r="I154">
        <f t="shared" si="48"/>
        <v>3.4603243243243225</v>
      </c>
      <c r="O154" t="e">
        <f>(#REF!/H154)</f>
        <v>#REF!</v>
      </c>
    </row>
    <row r="155" spans="1:15">
      <c r="A155">
        <v>9</v>
      </c>
      <c r="C155">
        <v>4.26</v>
      </c>
      <c r="D155">
        <v>93</v>
      </c>
      <c r="E155">
        <f t="shared" si="47"/>
        <v>2.2320000000000002</v>
      </c>
      <c r="F155">
        <f t="shared" si="50"/>
        <v>2.8123199999999997</v>
      </c>
      <c r="G155">
        <f t="shared" si="51"/>
        <v>0.61231999999999953</v>
      </c>
      <c r="H155">
        <v>0.48</v>
      </c>
      <c r="I155">
        <f t="shared" si="48"/>
        <v>1.2756666666666658</v>
      </c>
      <c r="O155" t="e">
        <f>(#REF!/H155)</f>
        <v>#REF!</v>
      </c>
    </row>
    <row r="156" spans="1:15">
      <c r="A156" t="s">
        <v>35</v>
      </c>
      <c r="C156">
        <v>4.51</v>
      </c>
      <c r="D156">
        <v>91</v>
      </c>
      <c r="E156">
        <f t="shared" si="47"/>
        <v>2.1840000000000002</v>
      </c>
      <c r="F156">
        <f t="shared" si="50"/>
        <v>2.2058399999999998</v>
      </c>
    </row>
    <row r="158" spans="1:15">
      <c r="C158">
        <f>+AVERAGE(C148:C156)</f>
        <v>3.7488888888888892</v>
      </c>
      <c r="D158">
        <f t="shared" ref="D158:L158" si="53">+AVERAGE(D147:D156)</f>
        <v>102.8</v>
      </c>
      <c r="E158">
        <f t="shared" si="53"/>
        <v>2.4671999999999996</v>
      </c>
      <c r="F158">
        <f t="shared" si="53"/>
        <v>4.6343759999999996</v>
      </c>
      <c r="G158">
        <f t="shared" si="53"/>
        <v>2.7042133333333318</v>
      </c>
      <c r="H158">
        <f t="shared" si="53"/>
        <v>0.79333333333333345</v>
      </c>
      <c r="I158">
        <f t="shared" si="53"/>
        <v>3.2632227783928247</v>
      </c>
      <c r="J158" t="e">
        <f t="shared" si="53"/>
        <v>#DIV/0!</v>
      </c>
      <c r="K158" t="e">
        <f t="shared" si="53"/>
        <v>#DIV/0!</v>
      </c>
      <c r="L158" t="e">
        <f t="shared" si="53"/>
        <v>#DIV/0!</v>
      </c>
      <c r="N158" t="e">
        <f>+AVERAGE(N149:N156)</f>
        <v>#DIV/0!</v>
      </c>
      <c r="O158" t="e">
        <f>+AVERAGE(O147:O156)</f>
        <v>#REF!</v>
      </c>
    </row>
    <row r="161" spans="14:14">
      <c r="N161" t="s">
        <v>51</v>
      </c>
    </row>
    <row r="162" spans="14:14">
      <c r="N162">
        <v>4.7168008048292104E-4</v>
      </c>
    </row>
    <row r="163" spans="14:14">
      <c r="N163">
        <v>-8.3789235412474912E-3</v>
      </c>
    </row>
    <row r="164" spans="14:14">
      <c r="N164">
        <v>1.010083170254405E-2</v>
      </c>
    </row>
    <row r="165" spans="14:14">
      <c r="N165">
        <v>-3.733571428571416E-3</v>
      </c>
    </row>
    <row r="166" spans="14:14">
      <c r="N166">
        <v>-1.0018233082706756E-2</v>
      </c>
    </row>
    <row r="167" spans="14:14">
      <c r="N167">
        <v>2.4477305605786624E-2</v>
      </c>
    </row>
    <row r="168" spans="14:14">
      <c r="N168">
        <v>8.6037671232876804E-3</v>
      </c>
    </row>
    <row r="169" spans="14:14">
      <c r="N169">
        <v>2.1364737793851733E-2</v>
      </c>
    </row>
    <row r="170" spans="14:14">
      <c r="N170">
        <v>-7.6768101761252525E-3</v>
      </c>
    </row>
    <row r="172" spans="14:14">
      <c r="N172" t="s">
        <v>52</v>
      </c>
    </row>
    <row r="173" spans="14:14">
      <c r="N173">
        <v>8.0321734568980542E-3</v>
      </c>
    </row>
    <row r="174" spans="14:14">
      <c r="N174">
        <v>9.4630096367679745E-2</v>
      </c>
    </row>
    <row r="175" spans="14:14">
      <c r="N175">
        <v>0.10645790532669702</v>
      </c>
    </row>
    <row r="176" spans="14:14">
      <c r="N176">
        <v>7.612133072407043E-2</v>
      </c>
    </row>
    <row r="177" spans="14:14">
      <c r="N177">
        <v>-3.3672180451127902E-3</v>
      </c>
    </row>
    <row r="178" spans="14:14">
      <c r="N178">
        <v>0</v>
      </c>
    </row>
    <row r="179" spans="14:14">
      <c r="N179">
        <v>9.1454458932140478E-2</v>
      </c>
    </row>
    <row r="180" spans="14:14">
      <c r="N180">
        <v>-6.7724791430631443E-3</v>
      </c>
    </row>
    <row r="181" spans="14:14">
      <c r="N181">
        <v>-2.8438184067765786E-4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U158"/>
  <sheetViews>
    <sheetView workbookViewId="0"/>
  </sheetViews>
  <sheetFormatPr baseColWidth="10" defaultRowHeight="12.75"/>
  <sheetData>
    <row r="1" spans="1:21">
      <c r="A1" t="s">
        <v>0</v>
      </c>
    </row>
    <row r="2" spans="1:21">
      <c r="A2" t="s">
        <v>1</v>
      </c>
    </row>
    <row r="3" spans="1:21">
      <c r="A3" t="s">
        <v>55</v>
      </c>
    </row>
    <row r="4" spans="1:21">
      <c r="A4" t="s">
        <v>56</v>
      </c>
    </row>
    <row r="5" spans="1:21">
      <c r="A5" t="s">
        <v>4</v>
      </c>
    </row>
    <row r="6" spans="1:21">
      <c r="A6" t="s">
        <v>5</v>
      </c>
      <c r="S6" t="s">
        <v>6</v>
      </c>
      <c r="T6" t="s">
        <v>7</v>
      </c>
      <c r="U6" t="s">
        <v>8</v>
      </c>
    </row>
    <row r="7" spans="1:21">
      <c r="A7" t="s">
        <v>9</v>
      </c>
      <c r="Q7" t="s">
        <v>10</v>
      </c>
      <c r="S7" t="s">
        <v>11</v>
      </c>
      <c r="T7" t="s">
        <v>12</v>
      </c>
    </row>
    <row r="8" spans="1:21">
      <c r="B8" t="s">
        <v>13</v>
      </c>
      <c r="D8" t="s">
        <v>14</v>
      </c>
      <c r="E8" t="s">
        <v>14</v>
      </c>
      <c r="F8" t="s">
        <v>15</v>
      </c>
      <c r="H8" t="s">
        <v>16</v>
      </c>
      <c r="I8" t="s">
        <v>10</v>
      </c>
      <c r="K8" t="s">
        <v>17</v>
      </c>
      <c r="L8" t="s">
        <v>10</v>
      </c>
      <c r="N8" t="s">
        <v>18</v>
      </c>
      <c r="O8" t="s">
        <v>19</v>
      </c>
      <c r="P8" t="s">
        <v>20</v>
      </c>
      <c r="Q8" t="s">
        <v>21</v>
      </c>
      <c r="R8" t="s">
        <v>22</v>
      </c>
      <c r="S8" t="s">
        <v>23</v>
      </c>
      <c r="T8" t="s">
        <v>23</v>
      </c>
    </row>
    <row r="9" spans="1:21">
      <c r="A9" t="s">
        <v>24</v>
      </c>
      <c r="B9" t="s">
        <v>25</v>
      </c>
      <c r="C9" t="s">
        <v>26</v>
      </c>
      <c r="D9" t="s">
        <v>27</v>
      </c>
      <c r="E9" t="s">
        <v>28</v>
      </c>
      <c r="F9" t="s">
        <v>29</v>
      </c>
      <c r="G9" t="s">
        <v>30</v>
      </c>
      <c r="H9" t="s">
        <v>31</v>
      </c>
      <c r="I9" t="s">
        <v>32</v>
      </c>
      <c r="K9" t="s">
        <v>31</v>
      </c>
      <c r="L9" t="s">
        <v>33</v>
      </c>
      <c r="O9" t="s">
        <v>34</v>
      </c>
      <c r="P9">
        <v>0</v>
      </c>
      <c r="Q9">
        <v>2.66</v>
      </c>
      <c r="R9">
        <v>6.0000000000000001E-3</v>
      </c>
      <c r="S9">
        <f t="shared" ref="S9:S13" si="0">+Q9*62.5</f>
        <v>166.25</v>
      </c>
      <c r="T9">
        <f t="shared" ref="T9:T13" si="1">+R9*58.9</f>
        <v>0.35339999999999999</v>
      </c>
      <c r="U9">
        <f t="shared" ref="U9:U13" si="2">+S9/T9</f>
        <v>470.43010752688173</v>
      </c>
    </row>
    <row r="10" spans="1:21">
      <c r="A10">
        <v>1</v>
      </c>
      <c r="B10">
        <v>5.38</v>
      </c>
      <c r="C10">
        <v>3.13</v>
      </c>
      <c r="D10">
        <v>107</v>
      </c>
      <c r="E10">
        <f t="shared" ref="E10:E19" si="3">+(((D10/50)*60)*20)/1000</f>
        <v>2.5680000000000001</v>
      </c>
      <c r="F10">
        <f>(5.15-C10)*E10</f>
        <v>5.1873600000000017</v>
      </c>
      <c r="G10">
        <f>+F10-1.76</f>
        <v>3.427360000000002</v>
      </c>
      <c r="H10">
        <v>1.19</v>
      </c>
      <c r="I10">
        <f t="shared" ref="I10:I18" si="4">+G10/H10</f>
        <v>2.8801344537815146</v>
      </c>
      <c r="K10">
        <v>0.312</v>
      </c>
      <c r="N10">
        <v>0.13614113387386273</v>
      </c>
      <c r="O10">
        <f t="shared" ref="O10:O13" si="5">(N10/H10)</f>
        <v>0.11440431417971658</v>
      </c>
      <c r="P10">
        <v>1</v>
      </c>
      <c r="Q10">
        <v>2.41</v>
      </c>
      <c r="R10">
        <v>1.4E-2</v>
      </c>
      <c r="S10">
        <f t="shared" si="0"/>
        <v>150.625</v>
      </c>
      <c r="T10">
        <f t="shared" si="1"/>
        <v>0.8246</v>
      </c>
      <c r="U10">
        <f t="shared" si="2"/>
        <v>182.66432209556149</v>
      </c>
    </row>
    <row r="11" spans="1:21">
      <c r="A11">
        <v>2</v>
      </c>
      <c r="B11">
        <v>5.27</v>
      </c>
      <c r="C11">
        <v>3.27</v>
      </c>
      <c r="D11">
        <v>96</v>
      </c>
      <c r="E11">
        <f t="shared" si="3"/>
        <v>2.3039999999999998</v>
      </c>
      <c r="F11">
        <f t="shared" ref="F11:F19" si="6">(5.15-C11)*E11</f>
        <v>4.3315200000000003</v>
      </c>
      <c r="G11">
        <f t="shared" ref="G11:G18" si="7">+F11-1.76</f>
        <v>2.5715200000000005</v>
      </c>
      <c r="H11">
        <v>1.08</v>
      </c>
      <c r="I11">
        <f t="shared" si="4"/>
        <v>2.3810370370370375</v>
      </c>
      <c r="K11">
        <v>0.27650000000000002</v>
      </c>
      <c r="N11">
        <v>6.5564569536423756E-3</v>
      </c>
      <c r="O11">
        <f t="shared" si="5"/>
        <v>6.0707934755947915E-3</v>
      </c>
      <c r="P11">
        <v>2</v>
      </c>
      <c r="Q11">
        <v>3.03</v>
      </c>
      <c r="R11">
        <v>1.7000000000000001E-2</v>
      </c>
      <c r="S11">
        <f t="shared" si="0"/>
        <v>189.375</v>
      </c>
      <c r="T11">
        <f t="shared" si="1"/>
        <v>1.0013000000000001</v>
      </c>
      <c r="U11">
        <f t="shared" si="2"/>
        <v>189.12913212823329</v>
      </c>
    </row>
    <row r="12" spans="1:21">
      <c r="A12">
        <v>3</v>
      </c>
      <c r="B12">
        <v>5.05</v>
      </c>
      <c r="C12">
        <v>3.41</v>
      </c>
      <c r="D12">
        <v>95</v>
      </c>
      <c r="E12">
        <f t="shared" si="3"/>
        <v>2.2799999999999998</v>
      </c>
      <c r="F12">
        <f t="shared" si="6"/>
        <v>3.9672000000000001</v>
      </c>
      <c r="G12">
        <f t="shared" si="7"/>
        <v>2.2072000000000003</v>
      </c>
      <c r="H12">
        <v>0.64</v>
      </c>
      <c r="I12">
        <f t="shared" si="4"/>
        <v>3.4487500000000004</v>
      </c>
      <c r="K12">
        <v>0.17480000000000001</v>
      </c>
      <c r="N12">
        <v>-9.4366329731613869E-3</v>
      </c>
      <c r="O12">
        <v>0</v>
      </c>
      <c r="P12">
        <v>3</v>
      </c>
      <c r="Q12">
        <v>2.88</v>
      </c>
      <c r="R12">
        <v>6.0000000000000001E-3</v>
      </c>
      <c r="S12">
        <f t="shared" si="0"/>
        <v>180</v>
      </c>
      <c r="T12">
        <f t="shared" si="1"/>
        <v>0.35339999999999999</v>
      </c>
      <c r="U12">
        <f t="shared" si="2"/>
        <v>509.33786078098473</v>
      </c>
    </row>
    <row r="13" spans="1:21">
      <c r="A13">
        <v>4</v>
      </c>
      <c r="B13">
        <v>5.04</v>
      </c>
      <c r="C13">
        <v>3.06</v>
      </c>
      <c r="D13">
        <v>100</v>
      </c>
      <c r="E13">
        <f t="shared" si="3"/>
        <v>2.4</v>
      </c>
      <c r="F13">
        <f t="shared" si="6"/>
        <v>5.0160000000000009</v>
      </c>
      <c r="G13">
        <f t="shared" si="7"/>
        <v>3.2560000000000011</v>
      </c>
      <c r="H13">
        <v>1.1000000000000001</v>
      </c>
      <c r="I13">
        <f t="shared" si="4"/>
        <v>2.9600000000000009</v>
      </c>
      <c r="K13">
        <v>0.26350000000000001</v>
      </c>
      <c r="N13">
        <v>1.7732450331125799E-3</v>
      </c>
      <c r="O13">
        <f t="shared" si="5"/>
        <v>1.6120409391932543E-3</v>
      </c>
      <c r="P13">
        <v>4</v>
      </c>
      <c r="Q13">
        <v>2.5299999999999998</v>
      </c>
      <c r="R13">
        <v>4.0000000000000001E-3</v>
      </c>
      <c r="S13">
        <f t="shared" si="0"/>
        <v>158.125</v>
      </c>
      <c r="T13">
        <f t="shared" si="1"/>
        <v>0.2356</v>
      </c>
      <c r="U13">
        <f t="shared" si="2"/>
        <v>671.15874363327669</v>
      </c>
    </row>
    <row r="14" spans="1:21">
      <c r="A14">
        <v>5</v>
      </c>
      <c r="B14">
        <v>5.07</v>
      </c>
      <c r="C14">
        <v>3.2</v>
      </c>
      <c r="D14">
        <v>123</v>
      </c>
      <c r="E14">
        <f t="shared" si="3"/>
        <v>2.952</v>
      </c>
      <c r="F14">
        <f t="shared" si="6"/>
        <v>5.7564000000000002</v>
      </c>
      <c r="G14">
        <f t="shared" si="7"/>
        <v>3.9964000000000004</v>
      </c>
      <c r="H14">
        <v>0.95</v>
      </c>
      <c r="I14">
        <f t="shared" si="4"/>
        <v>4.206736842105264</v>
      </c>
      <c r="K14">
        <v>0.24490000000000001</v>
      </c>
      <c r="N14">
        <v>-5.9333480342294064E-4</v>
      </c>
      <c r="O14">
        <v>0</v>
      </c>
      <c r="P14">
        <v>5</v>
      </c>
      <c r="R14" t="s">
        <v>5</v>
      </c>
    </row>
    <row r="15" spans="1:21">
      <c r="A15">
        <v>6</v>
      </c>
      <c r="B15">
        <v>5.09</v>
      </c>
      <c r="C15">
        <v>3.65</v>
      </c>
      <c r="D15">
        <v>98</v>
      </c>
      <c r="E15">
        <f t="shared" si="3"/>
        <v>2.3519999999999999</v>
      </c>
      <c r="F15">
        <f t="shared" si="6"/>
        <v>3.5280000000000009</v>
      </c>
      <c r="G15">
        <f t="shared" si="7"/>
        <v>1.7680000000000009</v>
      </c>
      <c r="H15">
        <v>0.62</v>
      </c>
      <c r="I15">
        <f t="shared" si="4"/>
        <v>2.8516129032258077</v>
      </c>
      <c r="K15">
        <v>0.15010000000000001</v>
      </c>
      <c r="N15">
        <v>-4.3747230320699708E-2</v>
      </c>
      <c r="O15">
        <v>0</v>
      </c>
      <c r="P15">
        <v>6</v>
      </c>
      <c r="R15" t="s">
        <v>5</v>
      </c>
    </row>
    <row r="16" spans="1:21">
      <c r="A16">
        <v>7</v>
      </c>
      <c r="C16">
        <v>3.64</v>
      </c>
      <c r="D16">
        <v>98</v>
      </c>
      <c r="E16">
        <f t="shared" si="3"/>
        <v>2.3519999999999999</v>
      </c>
      <c r="F16">
        <f t="shared" si="6"/>
        <v>3.5515200000000005</v>
      </c>
      <c r="G16">
        <f t="shared" si="7"/>
        <v>1.7915200000000004</v>
      </c>
      <c r="H16">
        <v>0.94</v>
      </c>
      <c r="I16">
        <f t="shared" si="4"/>
        <v>1.9058723404255324</v>
      </c>
      <c r="K16">
        <v>0.22950000000000001</v>
      </c>
      <c r="N16">
        <v>-3.471443148688047E-2</v>
      </c>
      <c r="O16">
        <v>0</v>
      </c>
      <c r="P16">
        <v>7</v>
      </c>
      <c r="R16" t="s">
        <v>5</v>
      </c>
    </row>
    <row r="17" spans="1:15">
      <c r="A17">
        <v>8</v>
      </c>
      <c r="B17">
        <f>+AVERAGE(B10:B15)</f>
        <v>5.1499999999999995</v>
      </c>
      <c r="C17">
        <v>3.71</v>
      </c>
      <c r="D17">
        <v>96</v>
      </c>
      <c r="E17">
        <f t="shared" si="3"/>
        <v>2.3039999999999998</v>
      </c>
      <c r="F17">
        <f t="shared" si="6"/>
        <v>3.3177600000000007</v>
      </c>
      <c r="G17">
        <f t="shared" si="7"/>
        <v>1.5577600000000007</v>
      </c>
      <c r="H17">
        <v>0.36</v>
      </c>
      <c r="I17">
        <f t="shared" si="4"/>
        <v>4.3271111111111136</v>
      </c>
      <c r="K17">
        <v>9.1899999999999996E-2</v>
      </c>
      <c r="N17">
        <v>-5.6981696428571427E-2</v>
      </c>
      <c r="O17">
        <v>0</v>
      </c>
    </row>
    <row r="18" spans="1:15">
      <c r="A18">
        <v>9</v>
      </c>
      <c r="C18">
        <v>3.94</v>
      </c>
      <c r="D18">
        <v>96</v>
      </c>
      <c r="E18">
        <f t="shared" si="3"/>
        <v>2.3039999999999998</v>
      </c>
      <c r="F18">
        <f t="shared" si="6"/>
        <v>2.7878400000000005</v>
      </c>
      <c r="G18">
        <f t="shared" si="7"/>
        <v>1.0278400000000005</v>
      </c>
      <c r="H18">
        <v>0.6</v>
      </c>
      <c r="I18">
        <f t="shared" si="4"/>
        <v>1.7130666666666676</v>
      </c>
      <c r="K18">
        <v>0.15509999999999999</v>
      </c>
      <c r="N18">
        <v>-3.1481696428571418E-2</v>
      </c>
      <c r="O18">
        <v>0</v>
      </c>
    </row>
    <row r="19" spans="1:15">
      <c r="A19" t="s">
        <v>35</v>
      </c>
      <c r="C19">
        <v>4.34</v>
      </c>
      <c r="D19">
        <v>95</v>
      </c>
      <c r="E19">
        <f t="shared" si="3"/>
        <v>2.2799999999999998</v>
      </c>
      <c r="F19">
        <f t="shared" si="6"/>
        <v>1.8468000000000009</v>
      </c>
    </row>
    <row r="21" spans="1:15">
      <c r="C21">
        <f t="shared" ref="C21:L21" si="8">+AVERAGE(C10:C19)</f>
        <v>3.5350000000000001</v>
      </c>
      <c r="D21">
        <f t="shared" si="8"/>
        <v>100.4</v>
      </c>
      <c r="E21">
        <f t="shared" si="8"/>
        <v>2.4095999999999997</v>
      </c>
      <c r="F21">
        <f t="shared" si="8"/>
        <v>3.9290400000000014</v>
      </c>
      <c r="G21">
        <f t="shared" si="8"/>
        <v>2.4004000000000012</v>
      </c>
      <c r="H21">
        <f t="shared" si="8"/>
        <v>0.83111111111111102</v>
      </c>
      <c r="I21">
        <f t="shared" si="8"/>
        <v>2.9638134838169932</v>
      </c>
      <c r="J21" t="e">
        <f t="shared" si="8"/>
        <v>#DIV/0!</v>
      </c>
      <c r="K21">
        <f t="shared" si="8"/>
        <v>0.21092222222222226</v>
      </c>
      <c r="L21" t="e">
        <f t="shared" si="8"/>
        <v>#DIV/0!</v>
      </c>
      <c r="O21">
        <f>+AVERAGE(O10:O18)</f>
        <v>1.3565238732722737E-2</v>
      </c>
    </row>
    <row r="27" spans="1:15">
      <c r="A27" t="s">
        <v>36</v>
      </c>
    </row>
    <row r="28" spans="1:15">
      <c r="B28" t="s">
        <v>13</v>
      </c>
      <c r="D28" t="s">
        <v>14</v>
      </c>
      <c r="E28" t="s">
        <v>14</v>
      </c>
      <c r="F28" t="s">
        <v>15</v>
      </c>
      <c r="H28" t="s">
        <v>16</v>
      </c>
      <c r="I28" t="s">
        <v>10</v>
      </c>
      <c r="K28" t="s">
        <v>17</v>
      </c>
      <c r="L28" t="s">
        <v>10</v>
      </c>
      <c r="N28" t="s">
        <v>18</v>
      </c>
      <c r="O28" t="s">
        <v>19</v>
      </c>
    </row>
    <row r="29" spans="1:15">
      <c r="A29" t="s">
        <v>24</v>
      </c>
      <c r="B29" t="s">
        <v>25</v>
      </c>
      <c r="C29" t="s">
        <v>37</v>
      </c>
      <c r="D29" t="s">
        <v>27</v>
      </c>
      <c r="E29" t="s">
        <v>28</v>
      </c>
      <c r="F29" t="s">
        <v>29</v>
      </c>
      <c r="G29" t="s">
        <v>30</v>
      </c>
      <c r="H29" t="s">
        <v>31</v>
      </c>
      <c r="I29" t="s">
        <v>32</v>
      </c>
      <c r="K29" t="s">
        <v>31</v>
      </c>
      <c r="L29" t="s">
        <v>33</v>
      </c>
      <c r="O29" t="s">
        <v>34</v>
      </c>
    </row>
    <row r="30" spans="1:15">
      <c r="A30">
        <v>1</v>
      </c>
      <c r="B30">
        <v>5.36</v>
      </c>
      <c r="C30">
        <v>3.16</v>
      </c>
      <c r="D30">
        <v>107</v>
      </c>
      <c r="E30">
        <f t="shared" ref="E30:E39" si="9">+(((D30/50)*60)*20)/1000</f>
        <v>2.5680000000000001</v>
      </c>
      <c r="F30">
        <f>(5.22-C30)*E30</f>
        <v>5.2900799999999988</v>
      </c>
      <c r="G30">
        <f>+F30-1.89</f>
        <v>3.4000799999999991</v>
      </c>
      <c r="H30">
        <v>1.19</v>
      </c>
      <c r="I30">
        <f t="shared" ref="I30:I38" si="10">+G30/H30</f>
        <v>2.8572100840336128</v>
      </c>
      <c r="N30">
        <v>-2.2851696325694542E-2</v>
      </c>
      <c r="O30" t="s">
        <v>5</v>
      </c>
    </row>
    <row r="31" spans="1:15">
      <c r="A31">
        <v>2</v>
      </c>
      <c r="B31">
        <v>5.32</v>
      </c>
      <c r="C31">
        <v>3.13</v>
      </c>
      <c r="D31">
        <v>96</v>
      </c>
      <c r="E31">
        <f t="shared" si="9"/>
        <v>2.3039999999999998</v>
      </c>
      <c r="F31">
        <f t="shared" ref="F31:F39" si="11">(5.22-C31)*E31</f>
        <v>4.8153599999999992</v>
      </c>
      <c r="G31">
        <f t="shared" ref="G31:G38" si="12">+F31-1.89</f>
        <v>2.9253599999999995</v>
      </c>
      <c r="H31">
        <v>1.08</v>
      </c>
      <c r="I31">
        <f t="shared" si="10"/>
        <v>2.7086666666666659</v>
      </c>
      <c r="N31">
        <v>2.9069948630136989E-2</v>
      </c>
      <c r="O31">
        <f t="shared" ref="O31:O32" si="13">(N31/H31)</f>
        <v>2.6916619101978692E-2</v>
      </c>
    </row>
    <row r="32" spans="1:15">
      <c r="A32">
        <v>3</v>
      </c>
      <c r="B32">
        <v>5.16</v>
      </c>
      <c r="C32">
        <v>3.37</v>
      </c>
      <c r="D32">
        <v>95</v>
      </c>
      <c r="E32">
        <f t="shared" si="9"/>
        <v>2.2799999999999998</v>
      </c>
      <c r="F32">
        <f t="shared" si="11"/>
        <v>4.2179999999999991</v>
      </c>
      <c r="G32">
        <f t="shared" si="12"/>
        <v>2.3279999999999994</v>
      </c>
      <c r="H32">
        <v>0.64</v>
      </c>
      <c r="I32">
        <f t="shared" si="10"/>
        <v>3.6374999999999988</v>
      </c>
      <c r="N32">
        <v>9.9677000720980475E-3</v>
      </c>
      <c r="O32">
        <f t="shared" si="13"/>
        <v>1.5574531362653198E-2</v>
      </c>
    </row>
    <row r="33" spans="1:15">
      <c r="A33">
        <v>4</v>
      </c>
      <c r="B33">
        <v>5.18</v>
      </c>
      <c r="C33">
        <v>3.18</v>
      </c>
      <c r="D33">
        <v>100</v>
      </c>
      <c r="E33">
        <f t="shared" si="9"/>
        <v>2.4</v>
      </c>
      <c r="F33">
        <f t="shared" si="11"/>
        <v>4.895999999999999</v>
      </c>
      <c r="G33">
        <f t="shared" si="12"/>
        <v>3.0059999999999993</v>
      </c>
      <c r="H33">
        <v>1.1000000000000001</v>
      </c>
      <c r="I33">
        <f t="shared" si="10"/>
        <v>2.732727272727272</v>
      </c>
      <c r="N33">
        <v>-7.1182191780821908E-3</v>
      </c>
      <c r="O33">
        <f t="shared" ref="O33:O35" si="14">(N34/H34)</f>
        <v>1.3036910950772754E-2</v>
      </c>
    </row>
    <row r="34" spans="1:15">
      <c r="A34">
        <v>5</v>
      </c>
      <c r="B34">
        <v>5.12</v>
      </c>
      <c r="C34">
        <v>3.55</v>
      </c>
      <c r="D34">
        <v>123</v>
      </c>
      <c r="E34">
        <f t="shared" si="9"/>
        <v>2.952</v>
      </c>
      <c r="F34">
        <f t="shared" si="11"/>
        <v>4.9298399999999996</v>
      </c>
      <c r="G34">
        <f t="shared" si="12"/>
        <v>3.0398399999999999</v>
      </c>
      <c r="H34">
        <v>0.95</v>
      </c>
      <c r="I34">
        <f t="shared" si="10"/>
        <v>3.1998315789473684</v>
      </c>
      <c r="N34">
        <v>1.2385065403234117E-2</v>
      </c>
      <c r="O34">
        <f t="shared" si="14"/>
        <v>1.9522035946504094E-2</v>
      </c>
    </row>
    <row r="35" spans="1:15">
      <c r="A35">
        <v>6</v>
      </c>
      <c r="B35">
        <v>5.2</v>
      </c>
      <c r="C35">
        <v>3.7</v>
      </c>
      <c r="D35">
        <v>98</v>
      </c>
      <c r="E35">
        <f t="shared" si="9"/>
        <v>2.3519999999999999</v>
      </c>
      <c r="F35">
        <f t="shared" si="11"/>
        <v>3.5750399999999987</v>
      </c>
      <c r="G35">
        <f t="shared" si="12"/>
        <v>1.6850399999999988</v>
      </c>
      <c r="H35">
        <v>0.62</v>
      </c>
      <c r="I35">
        <f t="shared" si="10"/>
        <v>2.7178064516129012</v>
      </c>
      <c r="N35">
        <v>1.2103662286832538E-2</v>
      </c>
      <c r="O35">
        <f t="shared" si="14"/>
        <v>3.972329124013347E-2</v>
      </c>
    </row>
    <row r="36" spans="1:15">
      <c r="A36">
        <v>7</v>
      </c>
      <c r="C36">
        <v>3.77</v>
      </c>
      <c r="D36">
        <v>98</v>
      </c>
      <c r="E36">
        <f t="shared" si="9"/>
        <v>2.3519999999999999</v>
      </c>
      <c r="F36">
        <f t="shared" si="11"/>
        <v>3.4103999999999992</v>
      </c>
      <c r="G36">
        <f t="shared" si="12"/>
        <v>1.5203999999999993</v>
      </c>
      <c r="H36">
        <v>0.94</v>
      </c>
      <c r="I36">
        <f t="shared" si="10"/>
        <v>1.6174468085106377</v>
      </c>
      <c r="N36">
        <v>3.7339893765725461E-2</v>
      </c>
      <c r="O36">
        <f>(N38/H38)</f>
        <v>1.4428082191780822E-2</v>
      </c>
    </row>
    <row r="37" spans="1:15">
      <c r="A37">
        <v>8</v>
      </c>
      <c r="B37">
        <f>+AVERAGE(B30:B35)</f>
        <v>5.2233333333333336</v>
      </c>
      <c r="C37">
        <v>3.84</v>
      </c>
      <c r="D37">
        <v>96</v>
      </c>
      <c r="E37">
        <f t="shared" si="9"/>
        <v>2.3039999999999998</v>
      </c>
      <c r="F37">
        <f t="shared" si="11"/>
        <v>3.1795199999999997</v>
      </c>
      <c r="G37">
        <f t="shared" si="12"/>
        <v>1.2895199999999998</v>
      </c>
      <c r="H37">
        <v>0.36</v>
      </c>
      <c r="I37">
        <f t="shared" si="10"/>
        <v>3.5819999999999994</v>
      </c>
      <c r="N37">
        <v>-1.339366438356164E-2</v>
      </c>
      <c r="O37" t="s">
        <v>5</v>
      </c>
    </row>
    <row r="38" spans="1:15">
      <c r="A38">
        <v>9</v>
      </c>
      <c r="C38">
        <v>4.22</v>
      </c>
      <c r="D38">
        <v>96</v>
      </c>
      <c r="E38">
        <f t="shared" si="9"/>
        <v>2.3039999999999998</v>
      </c>
      <c r="F38">
        <f t="shared" si="11"/>
        <v>2.3039999999999998</v>
      </c>
      <c r="G38">
        <f t="shared" si="12"/>
        <v>0.41399999999999992</v>
      </c>
      <c r="H38">
        <v>0.6</v>
      </c>
      <c r="I38">
        <f t="shared" si="10"/>
        <v>0.69</v>
      </c>
      <c r="N38">
        <v>8.6568493150684933E-3</v>
      </c>
    </row>
    <row r="39" spans="1:15">
      <c r="A39" t="s">
        <v>35</v>
      </c>
      <c r="C39">
        <v>4.3899999999999997</v>
      </c>
      <c r="D39">
        <v>95</v>
      </c>
      <c r="E39">
        <f t="shared" si="9"/>
        <v>2.2799999999999998</v>
      </c>
      <c r="F39">
        <f t="shared" si="11"/>
        <v>1.8924000000000001</v>
      </c>
    </row>
    <row r="41" spans="1:15">
      <c r="C41">
        <f t="shared" ref="C41:L41" si="15">+AVERAGE(C30:C39)</f>
        <v>3.6309999999999993</v>
      </c>
      <c r="D41">
        <f t="shared" si="15"/>
        <v>100.4</v>
      </c>
      <c r="E41">
        <f t="shared" si="15"/>
        <v>2.4095999999999997</v>
      </c>
      <c r="F41">
        <f t="shared" si="15"/>
        <v>3.8510639999999996</v>
      </c>
      <c r="G41">
        <f t="shared" si="15"/>
        <v>2.1786933333333329</v>
      </c>
      <c r="H41">
        <f t="shared" si="15"/>
        <v>0.83111111111111102</v>
      </c>
      <c r="I41">
        <f t="shared" si="15"/>
        <v>2.6381320958331624</v>
      </c>
      <c r="J41" t="e">
        <f t="shared" si="15"/>
        <v>#DIV/0!</v>
      </c>
      <c r="K41" t="e">
        <f t="shared" si="15"/>
        <v>#DIV/0!</v>
      </c>
      <c r="L41" t="e">
        <f t="shared" si="15"/>
        <v>#DIV/0!</v>
      </c>
      <c r="O41">
        <f>+AVERAGE(O30:O37)</f>
        <v>2.1533578465637169E-2</v>
      </c>
    </row>
    <row r="46" spans="1:15">
      <c r="A46" t="s">
        <v>38</v>
      </c>
      <c r="C46" t="s">
        <v>39</v>
      </c>
    </row>
    <row r="47" spans="1:15">
      <c r="B47" t="s">
        <v>13</v>
      </c>
      <c r="D47" t="s">
        <v>14</v>
      </c>
      <c r="E47" t="s">
        <v>14</v>
      </c>
      <c r="F47" t="s">
        <v>15</v>
      </c>
      <c r="H47" t="s">
        <v>16</v>
      </c>
      <c r="I47" t="s">
        <v>10</v>
      </c>
      <c r="K47" t="s">
        <v>17</v>
      </c>
      <c r="L47" t="s">
        <v>10</v>
      </c>
      <c r="N47" t="s">
        <v>18</v>
      </c>
      <c r="O47" t="s">
        <v>19</v>
      </c>
    </row>
    <row r="48" spans="1:15">
      <c r="A48" t="s">
        <v>24</v>
      </c>
      <c r="B48" t="s">
        <v>25</v>
      </c>
      <c r="C48" t="s">
        <v>37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K48" t="s">
        <v>31</v>
      </c>
      <c r="L48" t="s">
        <v>33</v>
      </c>
      <c r="O48" t="s">
        <v>34</v>
      </c>
    </row>
    <row r="49" spans="1:15">
      <c r="A49">
        <v>1</v>
      </c>
      <c r="B49">
        <v>5.29</v>
      </c>
      <c r="C49">
        <v>2.63</v>
      </c>
      <c r="D49">
        <v>107</v>
      </c>
      <c r="E49">
        <f t="shared" ref="E49:E58" si="16">+(((D49/50)*60)*20)/1000</f>
        <v>2.5680000000000001</v>
      </c>
      <c r="F49">
        <f>(5.25-C49)*E49</f>
        <v>6.7281600000000008</v>
      </c>
      <c r="G49">
        <f>+F49-1.73</f>
        <v>4.9981600000000004</v>
      </c>
      <c r="H49">
        <v>1.19</v>
      </c>
      <c r="I49">
        <f t="shared" ref="I49:I57" si="17">+G49/H49</f>
        <v>4.2001344537815131</v>
      </c>
      <c r="N49">
        <v>6.6032988128315234E-2</v>
      </c>
      <c r="O49">
        <f t="shared" ref="O49:O54" si="18">(N49/H49)</f>
        <v>5.5489905990180874E-2</v>
      </c>
    </row>
    <row r="50" spans="1:15">
      <c r="A50">
        <v>2</v>
      </c>
      <c r="B50">
        <v>5.19</v>
      </c>
      <c r="C50">
        <v>3.09</v>
      </c>
      <c r="D50">
        <v>96</v>
      </c>
      <c r="E50">
        <f t="shared" si="16"/>
        <v>2.3039999999999998</v>
      </c>
      <c r="F50">
        <f t="shared" ref="F50:F58" si="19">(5.25-C50)*E50</f>
        <v>4.9766399999999997</v>
      </c>
      <c r="G50">
        <f t="shared" ref="G50:G57" si="20">+F50-1.73</f>
        <v>3.2466399999999997</v>
      </c>
      <c r="H50">
        <v>1.08</v>
      </c>
      <c r="I50">
        <f t="shared" si="17"/>
        <v>3.0061481481481476</v>
      </c>
      <c r="N50">
        <v>-2.2539189189189193E-2</v>
      </c>
      <c r="O50">
        <v>0</v>
      </c>
    </row>
    <row r="51" spans="1:15">
      <c r="A51">
        <v>3</v>
      </c>
      <c r="B51">
        <v>5.3</v>
      </c>
      <c r="C51">
        <v>3.12</v>
      </c>
      <c r="D51">
        <v>95</v>
      </c>
      <c r="E51">
        <f t="shared" si="16"/>
        <v>2.2799999999999998</v>
      </c>
      <c r="F51">
        <f t="shared" si="19"/>
        <v>4.8563999999999989</v>
      </c>
      <c r="G51">
        <f t="shared" si="20"/>
        <v>3.126399999999999</v>
      </c>
      <c r="H51">
        <v>0.64</v>
      </c>
      <c r="I51">
        <f t="shared" si="17"/>
        <v>4.884999999999998</v>
      </c>
      <c r="N51">
        <v>-4.6290184921763886E-3</v>
      </c>
      <c r="O51">
        <v>0</v>
      </c>
    </row>
    <row r="52" spans="1:15">
      <c r="A52">
        <v>4</v>
      </c>
      <c r="B52">
        <v>5.23</v>
      </c>
      <c r="C52">
        <v>3.22</v>
      </c>
      <c r="D52">
        <v>100</v>
      </c>
      <c r="E52">
        <f t="shared" si="16"/>
        <v>2.4</v>
      </c>
      <c r="F52">
        <f t="shared" si="19"/>
        <v>4.871999999999999</v>
      </c>
      <c r="G52">
        <f t="shared" si="20"/>
        <v>3.141999999999999</v>
      </c>
      <c r="H52">
        <v>1.1000000000000001</v>
      </c>
      <c r="I52">
        <f t="shared" si="17"/>
        <v>2.8563636363636351</v>
      </c>
      <c r="N52">
        <v>-2.9067027027027032E-2</v>
      </c>
      <c r="O52">
        <v>0</v>
      </c>
    </row>
    <row r="53" spans="1:15">
      <c r="A53">
        <v>5</v>
      </c>
      <c r="B53">
        <v>5.25</v>
      </c>
      <c r="C53">
        <v>3.33</v>
      </c>
      <c r="D53">
        <v>123</v>
      </c>
      <c r="E53">
        <f t="shared" si="16"/>
        <v>2.952</v>
      </c>
      <c r="F53">
        <f t="shared" si="19"/>
        <v>5.66784</v>
      </c>
      <c r="G53">
        <f t="shared" si="20"/>
        <v>3.93784</v>
      </c>
      <c r="H53">
        <v>0.95</v>
      </c>
      <c r="I53">
        <f t="shared" si="17"/>
        <v>4.1450947368421058</v>
      </c>
      <c r="N53">
        <v>-1.2845884982727091E-2</v>
      </c>
      <c r="O53">
        <v>0</v>
      </c>
    </row>
    <row r="54" spans="1:15">
      <c r="A54">
        <v>6</v>
      </c>
      <c r="B54">
        <v>5.24</v>
      </c>
      <c r="C54">
        <v>3.57</v>
      </c>
      <c r="D54">
        <v>98</v>
      </c>
      <c r="E54">
        <f t="shared" si="16"/>
        <v>2.3519999999999999</v>
      </c>
      <c r="F54">
        <f t="shared" si="19"/>
        <v>3.9513600000000002</v>
      </c>
      <c r="G54">
        <f t="shared" si="20"/>
        <v>2.2213600000000002</v>
      </c>
      <c r="H54">
        <v>0.62</v>
      </c>
      <c r="I54">
        <f t="shared" si="17"/>
        <v>3.5828387096774197</v>
      </c>
      <c r="N54">
        <v>8.8207391064533923E-4</v>
      </c>
      <c r="O54">
        <f t="shared" si="18"/>
        <v>1.4226998558795794E-3</v>
      </c>
    </row>
    <row r="55" spans="1:15">
      <c r="A55">
        <v>7</v>
      </c>
      <c r="C55">
        <v>3.8</v>
      </c>
      <c r="D55">
        <v>98</v>
      </c>
      <c r="E55">
        <f t="shared" si="16"/>
        <v>2.3519999999999999</v>
      </c>
      <c r="F55">
        <f t="shared" si="19"/>
        <v>3.4104000000000001</v>
      </c>
      <c r="G55">
        <f t="shared" si="20"/>
        <v>1.6804000000000001</v>
      </c>
      <c r="H55">
        <v>0.94</v>
      </c>
      <c r="I55">
        <f t="shared" si="17"/>
        <v>1.7876595744680854</v>
      </c>
      <c r="N55">
        <v>-7.3038058466629932E-3</v>
      </c>
      <c r="O55">
        <v>0</v>
      </c>
    </row>
    <row r="56" spans="1:15">
      <c r="A56">
        <v>8</v>
      </c>
      <c r="B56">
        <f>+AVERAGE(B49:B54)</f>
        <v>5.25</v>
      </c>
      <c r="C56">
        <v>3.66</v>
      </c>
      <c r="D56">
        <v>96</v>
      </c>
      <c r="E56">
        <f t="shared" si="16"/>
        <v>2.3039999999999998</v>
      </c>
      <c r="F56">
        <f t="shared" si="19"/>
        <v>3.6633599999999995</v>
      </c>
      <c r="G56">
        <f t="shared" si="20"/>
        <v>1.9333599999999995</v>
      </c>
      <c r="H56">
        <v>0.36</v>
      </c>
      <c r="I56">
        <f t="shared" si="17"/>
        <v>5.370444444444443</v>
      </c>
      <c r="N56">
        <v>-7.4631756756756776E-3</v>
      </c>
      <c r="O56">
        <v>0</v>
      </c>
    </row>
    <row r="57" spans="1:15">
      <c r="A57">
        <v>9</v>
      </c>
      <c r="C57">
        <v>4.1100000000000003</v>
      </c>
      <c r="D57">
        <v>96</v>
      </c>
      <c r="E57">
        <f t="shared" si="16"/>
        <v>2.3039999999999998</v>
      </c>
      <c r="F57">
        <f t="shared" si="19"/>
        <v>2.6265599999999991</v>
      </c>
      <c r="G57">
        <f t="shared" si="20"/>
        <v>0.89655999999999914</v>
      </c>
      <c r="H57">
        <v>0.6</v>
      </c>
      <c r="I57">
        <f t="shared" si="17"/>
        <v>1.4942666666666653</v>
      </c>
      <c r="N57">
        <v>-9.1587837837837742E-4</v>
      </c>
      <c r="O57">
        <v>0</v>
      </c>
    </row>
    <row r="58" spans="1:15">
      <c r="A58" t="s">
        <v>35</v>
      </c>
      <c r="C58">
        <v>4.49</v>
      </c>
      <c r="D58">
        <v>95</v>
      </c>
      <c r="E58">
        <f t="shared" si="16"/>
        <v>2.2799999999999998</v>
      </c>
      <c r="F58">
        <f t="shared" si="19"/>
        <v>1.7327999999999995</v>
      </c>
    </row>
    <row r="60" spans="1:15">
      <c r="C60">
        <f t="shared" ref="C60:L60" si="21">+AVERAGE(C49:C58)</f>
        <v>3.5020000000000002</v>
      </c>
      <c r="D60">
        <f t="shared" si="21"/>
        <v>100.4</v>
      </c>
      <c r="E60">
        <f t="shared" si="21"/>
        <v>2.4095999999999997</v>
      </c>
      <c r="F60">
        <f t="shared" si="21"/>
        <v>4.2485519999999992</v>
      </c>
      <c r="G60">
        <f t="shared" si="21"/>
        <v>2.7980799999999997</v>
      </c>
      <c r="H60">
        <f t="shared" si="21"/>
        <v>0.83111111111111102</v>
      </c>
      <c r="I60">
        <f t="shared" si="21"/>
        <v>3.4808833744880014</v>
      </c>
      <c r="J60" t="e">
        <f t="shared" si="21"/>
        <v>#DIV/0!</v>
      </c>
      <c r="K60" t="e">
        <f t="shared" si="21"/>
        <v>#DIV/0!</v>
      </c>
      <c r="L60" t="e">
        <f t="shared" si="21"/>
        <v>#DIV/0!</v>
      </c>
      <c r="O60">
        <f>+AVERAGE(O49:O58)</f>
        <v>6.3236228717844954E-3</v>
      </c>
    </row>
    <row r="65" spans="1:15">
      <c r="A65" t="s">
        <v>40</v>
      </c>
      <c r="C65" t="s">
        <v>41</v>
      </c>
    </row>
    <row r="66" spans="1:15">
      <c r="B66" t="s">
        <v>13</v>
      </c>
      <c r="D66" t="s">
        <v>14</v>
      </c>
      <c r="E66" t="s">
        <v>14</v>
      </c>
      <c r="F66" t="s">
        <v>15</v>
      </c>
      <c r="H66" t="s">
        <v>16</v>
      </c>
      <c r="I66" t="s">
        <v>10</v>
      </c>
      <c r="K66" t="s">
        <v>17</v>
      </c>
      <c r="L66" t="s">
        <v>10</v>
      </c>
      <c r="N66" t="s">
        <v>18</v>
      </c>
      <c r="O66" t="s">
        <v>19</v>
      </c>
    </row>
    <row r="67" spans="1:15">
      <c r="A67" t="s">
        <v>24</v>
      </c>
      <c r="B67" t="s">
        <v>25</v>
      </c>
      <c r="C67" t="s">
        <v>37</v>
      </c>
      <c r="D67" t="s">
        <v>27</v>
      </c>
      <c r="E67" t="s">
        <v>28</v>
      </c>
      <c r="F67" t="s">
        <v>29</v>
      </c>
      <c r="G67" t="s">
        <v>30</v>
      </c>
      <c r="H67" t="s">
        <v>31</v>
      </c>
      <c r="I67" t="s">
        <v>32</v>
      </c>
      <c r="K67" t="s">
        <v>31</v>
      </c>
      <c r="L67" t="s">
        <v>33</v>
      </c>
      <c r="O67" t="s">
        <v>34</v>
      </c>
    </row>
    <row r="68" spans="1:15">
      <c r="A68">
        <v>1</v>
      </c>
      <c r="B68">
        <v>5.25</v>
      </c>
      <c r="C68">
        <v>2.8</v>
      </c>
      <c r="D68">
        <v>107</v>
      </c>
      <c r="E68">
        <f t="shared" ref="E68:E77" si="22">+(((D68/50)*60)*20)/1000</f>
        <v>2.5680000000000001</v>
      </c>
      <c r="F68">
        <f>(5.19-C68)*E68</f>
        <v>6.1375200000000012</v>
      </c>
      <c r="G68">
        <f>+F68-1.71</f>
        <v>4.4275200000000012</v>
      </c>
      <c r="H68">
        <v>1.19</v>
      </c>
      <c r="I68">
        <f t="shared" ref="I68:I76" si="23">+G68/H68</f>
        <v>3.7206050420168078</v>
      </c>
      <c r="N68">
        <v>3.4012876427829686E-2</v>
      </c>
      <c r="O68">
        <f t="shared" ref="O68:O75" si="24">(N68/H68)</f>
        <v>2.8582249099016546E-2</v>
      </c>
    </row>
    <row r="69" spans="1:15">
      <c r="A69">
        <v>2</v>
      </c>
      <c r="B69">
        <v>5.27</v>
      </c>
      <c r="C69">
        <v>3.13</v>
      </c>
      <c r="D69">
        <v>96</v>
      </c>
      <c r="E69">
        <f t="shared" si="22"/>
        <v>2.3039999999999998</v>
      </c>
      <c r="F69">
        <f t="shared" ref="F69:F77" si="25">(5.19-C69)*E69</f>
        <v>4.7462400000000011</v>
      </c>
      <c r="G69">
        <f t="shared" ref="G69:G76" si="26">+F69-1.71</f>
        <v>3.0362400000000012</v>
      </c>
      <c r="H69">
        <v>1.08</v>
      </c>
      <c r="I69">
        <f t="shared" si="23"/>
        <v>2.8113333333333341</v>
      </c>
      <c r="N69">
        <v>-1.3948842592592617E-2</v>
      </c>
      <c r="O69">
        <v>0</v>
      </c>
    </row>
    <row r="70" spans="1:15">
      <c r="A70">
        <v>3</v>
      </c>
      <c r="B70">
        <v>5.09</v>
      </c>
      <c r="C70">
        <v>3.19</v>
      </c>
      <c r="D70">
        <v>95</v>
      </c>
      <c r="E70">
        <f t="shared" si="22"/>
        <v>2.2799999999999998</v>
      </c>
      <c r="F70">
        <f t="shared" si="25"/>
        <v>4.5600000000000005</v>
      </c>
      <c r="G70">
        <f t="shared" si="26"/>
        <v>2.8500000000000005</v>
      </c>
      <c r="H70">
        <v>0.64</v>
      </c>
      <c r="I70">
        <f t="shared" si="23"/>
        <v>4.4531250000000009</v>
      </c>
      <c r="N70">
        <v>-2.4923976608187213E-3</v>
      </c>
      <c r="O70">
        <v>0</v>
      </c>
    </row>
    <row r="71" spans="1:15">
      <c r="A71">
        <v>4</v>
      </c>
      <c r="B71">
        <v>5.1100000000000003</v>
      </c>
      <c r="C71">
        <v>3.24</v>
      </c>
      <c r="D71">
        <v>100</v>
      </c>
      <c r="E71">
        <f t="shared" si="22"/>
        <v>2.4</v>
      </c>
      <c r="F71">
        <f t="shared" si="25"/>
        <v>4.6800000000000006</v>
      </c>
      <c r="G71">
        <f t="shared" si="26"/>
        <v>2.9700000000000006</v>
      </c>
      <c r="H71">
        <v>1.1000000000000001</v>
      </c>
      <c r="I71">
        <f t="shared" si="23"/>
        <v>2.7</v>
      </c>
      <c r="N71">
        <v>-2.282222222222224E-2</v>
      </c>
      <c r="O71">
        <v>0</v>
      </c>
    </row>
    <row r="72" spans="1:15">
      <c r="A72">
        <v>5</v>
      </c>
      <c r="B72">
        <v>5.16</v>
      </c>
      <c r="C72">
        <v>3.27</v>
      </c>
      <c r="D72">
        <v>123</v>
      </c>
      <c r="E72">
        <f t="shared" si="22"/>
        <v>2.952</v>
      </c>
      <c r="F72">
        <f t="shared" si="25"/>
        <v>5.6678400000000009</v>
      </c>
      <c r="G72">
        <f t="shared" si="26"/>
        <v>3.9578400000000009</v>
      </c>
      <c r="H72">
        <v>0.95</v>
      </c>
      <c r="I72">
        <f t="shared" si="23"/>
        <v>4.1661473684210542</v>
      </c>
      <c r="N72">
        <v>-6.266833751044287E-3</v>
      </c>
      <c r="O72">
        <v>0</v>
      </c>
    </row>
    <row r="73" spans="1:15">
      <c r="A73">
        <v>6</v>
      </c>
      <c r="B73">
        <v>5.26</v>
      </c>
      <c r="C73">
        <v>3.56</v>
      </c>
      <c r="D73">
        <v>98</v>
      </c>
      <c r="E73">
        <f t="shared" si="22"/>
        <v>2.3519999999999999</v>
      </c>
      <c r="F73">
        <f t="shared" si="25"/>
        <v>3.8337600000000007</v>
      </c>
      <c r="G73">
        <f t="shared" si="26"/>
        <v>2.1237600000000008</v>
      </c>
      <c r="H73">
        <v>0.62</v>
      </c>
      <c r="I73">
        <f t="shared" si="23"/>
        <v>3.4254193548387111</v>
      </c>
      <c r="N73">
        <v>6.4355555555555555E-2</v>
      </c>
      <c r="O73">
        <f t="shared" si="24"/>
        <v>0.10379928315412186</v>
      </c>
    </row>
    <row r="74" spans="1:15">
      <c r="A74">
        <v>7</v>
      </c>
      <c r="B74" t="s">
        <v>5</v>
      </c>
      <c r="C74">
        <v>3.74</v>
      </c>
      <c r="D74">
        <v>98</v>
      </c>
      <c r="E74">
        <f t="shared" si="22"/>
        <v>2.3519999999999999</v>
      </c>
      <c r="F74">
        <f t="shared" si="25"/>
        <v>3.4104000000000001</v>
      </c>
      <c r="G74">
        <f t="shared" si="26"/>
        <v>1.7004000000000001</v>
      </c>
      <c r="H74">
        <v>0.94</v>
      </c>
      <c r="I74">
        <f t="shared" si="23"/>
        <v>1.8089361702127662</v>
      </c>
      <c r="N74">
        <v>-1.4765759637188229E-2</v>
      </c>
      <c r="O74">
        <v>0</v>
      </c>
    </row>
    <row r="75" spans="1:15">
      <c r="A75">
        <v>8</v>
      </c>
      <c r="B75">
        <f>+AVERAGE(B68:B73)</f>
        <v>5.19</v>
      </c>
      <c r="C75">
        <v>3.68</v>
      </c>
      <c r="D75">
        <v>96</v>
      </c>
      <c r="E75">
        <f t="shared" si="22"/>
        <v>2.3039999999999998</v>
      </c>
      <c r="F75">
        <f t="shared" si="25"/>
        <v>3.4790400000000004</v>
      </c>
      <c r="G75">
        <f t="shared" si="26"/>
        <v>1.7690400000000004</v>
      </c>
      <c r="H75">
        <v>0.36</v>
      </c>
      <c r="I75">
        <f t="shared" si="23"/>
        <v>4.9140000000000015</v>
      </c>
      <c r="N75">
        <v>8.3833333333333294E-3</v>
      </c>
      <c r="O75">
        <f t="shared" si="24"/>
        <v>2.3287037037037026E-2</v>
      </c>
    </row>
    <row r="76" spans="1:15">
      <c r="A76">
        <v>9</v>
      </c>
      <c r="C76">
        <v>4.04</v>
      </c>
      <c r="D76">
        <v>96</v>
      </c>
      <c r="E76">
        <f t="shared" si="22"/>
        <v>2.3039999999999998</v>
      </c>
      <c r="F76">
        <f t="shared" si="25"/>
        <v>2.6496000000000004</v>
      </c>
      <c r="G76">
        <f t="shared" si="26"/>
        <v>0.93960000000000043</v>
      </c>
      <c r="H76">
        <v>0.6</v>
      </c>
      <c r="I76">
        <f t="shared" si="23"/>
        <v>1.5660000000000007</v>
      </c>
      <c r="N76">
        <v>-7.7314814814828658E-5</v>
      </c>
      <c r="O76">
        <v>0</v>
      </c>
    </row>
    <row r="77" spans="1:15">
      <c r="A77" t="s">
        <v>35</v>
      </c>
      <c r="C77">
        <v>4.4400000000000004</v>
      </c>
      <c r="D77">
        <v>95</v>
      </c>
      <c r="E77">
        <f t="shared" si="22"/>
        <v>2.2799999999999998</v>
      </c>
      <c r="F77">
        <f t="shared" si="25"/>
        <v>1.71</v>
      </c>
    </row>
    <row r="79" spans="1:15">
      <c r="C79">
        <f t="shared" ref="C79:L79" si="27">+AVERAGE(C68:C77)</f>
        <v>3.5089999999999995</v>
      </c>
      <c r="D79">
        <f t="shared" si="27"/>
        <v>100.4</v>
      </c>
      <c r="E79">
        <f t="shared" si="27"/>
        <v>2.4095999999999997</v>
      </c>
      <c r="F79">
        <f t="shared" si="27"/>
        <v>4.0874400000000009</v>
      </c>
      <c r="G79">
        <f t="shared" si="27"/>
        <v>2.6416000000000008</v>
      </c>
      <c r="H79">
        <f t="shared" si="27"/>
        <v>0.83111111111111102</v>
      </c>
      <c r="I79">
        <f t="shared" si="27"/>
        <v>3.2850629187580753</v>
      </c>
      <c r="J79" t="e">
        <f t="shared" si="27"/>
        <v>#DIV/0!</v>
      </c>
      <c r="K79" t="e">
        <f t="shared" si="27"/>
        <v>#DIV/0!</v>
      </c>
      <c r="L79" t="e">
        <f t="shared" si="27"/>
        <v>#DIV/0!</v>
      </c>
      <c r="O79">
        <f>+AVERAGE(O68:O77)</f>
        <v>1.7296507698908378E-2</v>
      </c>
    </row>
    <row r="86" spans="1:15">
      <c r="A86" t="s">
        <v>42</v>
      </c>
      <c r="C86" t="s">
        <v>43</v>
      </c>
    </row>
    <row r="87" spans="1:15">
      <c r="B87" t="s">
        <v>13</v>
      </c>
      <c r="D87" t="s">
        <v>14</v>
      </c>
      <c r="E87" t="s">
        <v>14</v>
      </c>
      <c r="F87" t="s">
        <v>15</v>
      </c>
      <c r="H87" t="s">
        <v>16</v>
      </c>
      <c r="I87" t="s">
        <v>10</v>
      </c>
      <c r="K87" t="s">
        <v>17</v>
      </c>
      <c r="L87" t="s">
        <v>10</v>
      </c>
      <c r="N87" t="s">
        <v>18</v>
      </c>
      <c r="O87" t="s">
        <v>19</v>
      </c>
    </row>
    <row r="88" spans="1:15">
      <c r="A88" t="s">
        <v>24</v>
      </c>
      <c r="B88" t="s">
        <v>25</v>
      </c>
      <c r="C88" t="s">
        <v>37</v>
      </c>
      <c r="D88" t="s">
        <v>27</v>
      </c>
      <c r="E88" t="s">
        <v>28</v>
      </c>
      <c r="F88" t="s">
        <v>29</v>
      </c>
      <c r="G88" t="s">
        <v>30</v>
      </c>
      <c r="H88" t="s">
        <v>31</v>
      </c>
      <c r="I88" t="s">
        <v>32</v>
      </c>
      <c r="K88" t="s">
        <v>31</v>
      </c>
      <c r="L88" t="s">
        <v>33</v>
      </c>
      <c r="O88" t="s">
        <v>34</v>
      </c>
    </row>
    <row r="89" spans="1:15">
      <c r="A89">
        <v>1</v>
      </c>
      <c r="B89">
        <v>5.22</v>
      </c>
      <c r="C89">
        <v>2.88</v>
      </c>
      <c r="D89">
        <v>107</v>
      </c>
      <c r="E89">
        <f t="shared" ref="E89:E98" si="28">+(((D89/50)*60)*20)/1000</f>
        <v>2.5680000000000001</v>
      </c>
      <c r="F89">
        <f>(5.21-C89)*E89</f>
        <v>5.9834400000000008</v>
      </c>
      <c r="G89">
        <f>+F89-1.86</f>
        <v>4.1234400000000004</v>
      </c>
      <c r="H89">
        <v>1.19</v>
      </c>
      <c r="I89">
        <f t="shared" ref="I89:I97" si="29">+G89/H89</f>
        <v>3.4650756302521013</v>
      </c>
      <c r="N89">
        <v>8.198737178025986E-2</v>
      </c>
      <c r="O89">
        <f t="shared" ref="O89:O94" si="30">(N89/H89)</f>
        <v>6.8896951075848631E-2</v>
      </c>
    </row>
    <row r="90" spans="1:15">
      <c r="A90">
        <v>2</v>
      </c>
      <c r="B90">
        <v>5.19</v>
      </c>
      <c r="C90">
        <v>3.2</v>
      </c>
      <c r="D90">
        <v>96</v>
      </c>
      <c r="E90">
        <f t="shared" si="28"/>
        <v>2.3039999999999998</v>
      </c>
      <c r="F90">
        <f t="shared" ref="F90:F98" si="31">(5.21-C90)*E90</f>
        <v>4.6310399999999996</v>
      </c>
      <c r="G90">
        <f t="shared" ref="G90:G97" si="32">+F90-1.86</f>
        <v>2.7710399999999993</v>
      </c>
      <c r="H90">
        <v>1.08</v>
      </c>
      <c r="I90">
        <f t="shared" si="29"/>
        <v>2.565777777777777</v>
      </c>
      <c r="N90">
        <v>8.8338490853658538E-2</v>
      </c>
      <c r="O90">
        <f t="shared" si="30"/>
        <v>8.179489893857271E-2</v>
      </c>
    </row>
    <row r="91" spans="1:15">
      <c r="A91">
        <v>3</v>
      </c>
      <c r="B91">
        <v>5.09</v>
      </c>
      <c r="C91">
        <v>3.25</v>
      </c>
      <c r="D91">
        <v>95</v>
      </c>
      <c r="E91">
        <f t="shared" si="28"/>
        <v>2.2799999999999998</v>
      </c>
      <c r="F91">
        <f t="shared" si="31"/>
        <v>4.4687999999999999</v>
      </c>
      <c r="G91">
        <f t="shared" si="32"/>
        <v>2.6087999999999996</v>
      </c>
      <c r="H91">
        <v>0.64</v>
      </c>
      <c r="I91">
        <f t="shared" si="29"/>
        <v>4.076249999999999</v>
      </c>
      <c r="N91">
        <v>4.6618741976893474E-2</v>
      </c>
      <c r="O91">
        <f t="shared" si="30"/>
        <v>7.2841784338896057E-2</v>
      </c>
    </row>
    <row r="92" spans="1:15">
      <c r="A92">
        <v>4</v>
      </c>
      <c r="B92">
        <v>5.12</v>
      </c>
      <c r="C92">
        <v>3.17</v>
      </c>
      <c r="D92">
        <v>100</v>
      </c>
      <c r="E92">
        <f t="shared" si="28"/>
        <v>2.4</v>
      </c>
      <c r="F92">
        <f t="shared" si="31"/>
        <v>4.8959999999999999</v>
      </c>
      <c r="G92">
        <f t="shared" si="32"/>
        <v>3.0359999999999996</v>
      </c>
      <c r="H92">
        <v>1.1000000000000001</v>
      </c>
      <c r="I92">
        <f t="shared" si="29"/>
        <v>2.7599999999999993</v>
      </c>
      <c r="N92">
        <v>5.3757682926829281E-2</v>
      </c>
      <c r="O92">
        <f t="shared" si="30"/>
        <v>4.8870620842572071E-2</v>
      </c>
    </row>
    <row r="93" spans="1:15">
      <c r="A93">
        <v>5</v>
      </c>
      <c r="B93">
        <v>5.31</v>
      </c>
      <c r="C93">
        <v>3.27</v>
      </c>
      <c r="D93">
        <v>123</v>
      </c>
      <c r="E93">
        <f t="shared" si="28"/>
        <v>2.952</v>
      </c>
      <c r="F93">
        <f t="shared" si="31"/>
        <v>5.7268799999999995</v>
      </c>
      <c r="G93">
        <f t="shared" si="32"/>
        <v>3.8668799999999992</v>
      </c>
      <c r="H93">
        <v>0.95</v>
      </c>
      <c r="I93">
        <f t="shared" si="29"/>
        <v>4.0703999999999994</v>
      </c>
      <c r="N93">
        <v>5.9284595635430037E-2</v>
      </c>
      <c r="O93">
        <f t="shared" si="30"/>
        <v>6.2404837510978993E-2</v>
      </c>
    </row>
    <row r="94" spans="1:15">
      <c r="A94">
        <v>6</v>
      </c>
      <c r="B94">
        <v>5.33</v>
      </c>
      <c r="C94">
        <v>3.7</v>
      </c>
      <c r="D94">
        <v>98</v>
      </c>
      <c r="E94">
        <f t="shared" si="28"/>
        <v>2.3519999999999999</v>
      </c>
      <c r="F94">
        <f t="shared" si="31"/>
        <v>3.5515199999999991</v>
      </c>
      <c r="G94">
        <f t="shared" si="32"/>
        <v>1.691519999999999</v>
      </c>
      <c r="H94">
        <v>0.62</v>
      </c>
      <c r="I94">
        <f t="shared" si="29"/>
        <v>2.7282580645161274</v>
      </c>
      <c r="N94">
        <v>5.0323145843703343E-2</v>
      </c>
      <c r="O94">
        <f t="shared" si="30"/>
        <v>8.1166364264037644E-2</v>
      </c>
    </row>
    <row r="95" spans="1:15">
      <c r="A95">
        <v>7</v>
      </c>
      <c r="B95" t="s">
        <v>5</v>
      </c>
      <c r="C95">
        <v>3.9</v>
      </c>
      <c r="D95">
        <v>98</v>
      </c>
      <c r="E95">
        <f t="shared" si="28"/>
        <v>2.3519999999999999</v>
      </c>
      <c r="F95">
        <f t="shared" si="31"/>
        <v>3.0811199999999999</v>
      </c>
      <c r="G95">
        <f t="shared" si="32"/>
        <v>1.2211199999999998</v>
      </c>
      <c r="H95">
        <v>0.94</v>
      </c>
      <c r="I95">
        <f t="shared" si="29"/>
        <v>1.2990638297872339</v>
      </c>
      <c r="N95">
        <v>-8.3179691388750483E-3</v>
      </c>
      <c r="O95">
        <v>0</v>
      </c>
    </row>
    <row r="96" spans="1:15">
      <c r="A96">
        <v>8</v>
      </c>
      <c r="B96">
        <f>+AVERAGE(B89:B94)</f>
        <v>5.21</v>
      </c>
      <c r="C96">
        <v>3.83</v>
      </c>
      <c r="D96">
        <v>96</v>
      </c>
      <c r="E96">
        <f t="shared" si="28"/>
        <v>2.3039999999999998</v>
      </c>
      <c r="F96">
        <f t="shared" si="31"/>
        <v>3.1795199999999997</v>
      </c>
      <c r="G96">
        <f t="shared" si="32"/>
        <v>1.3195199999999996</v>
      </c>
      <c r="H96">
        <v>0.36</v>
      </c>
      <c r="I96">
        <f t="shared" si="29"/>
        <v>3.6653333333333324</v>
      </c>
      <c r="N96">
        <v>-1.7296036585365836E-2</v>
      </c>
      <c r="O96">
        <v>0</v>
      </c>
    </row>
    <row r="97" spans="1:15">
      <c r="A97">
        <v>9</v>
      </c>
      <c r="C97">
        <v>4.1900000000000004</v>
      </c>
      <c r="D97">
        <v>96</v>
      </c>
      <c r="E97">
        <f t="shared" si="28"/>
        <v>2.3039999999999998</v>
      </c>
      <c r="F97">
        <f t="shared" si="31"/>
        <v>2.3500799999999988</v>
      </c>
      <c r="G97">
        <f t="shared" si="32"/>
        <v>0.49007999999999874</v>
      </c>
      <c r="H97">
        <v>0.6</v>
      </c>
      <c r="I97">
        <f t="shared" si="29"/>
        <v>0.81679999999999797</v>
      </c>
      <c r="N97">
        <v>-1.787911585365853E-2</v>
      </c>
      <c r="O97">
        <v>0</v>
      </c>
    </row>
    <row r="98" spans="1:15">
      <c r="A98" t="s">
        <v>35</v>
      </c>
      <c r="C98">
        <v>4.3899999999999997</v>
      </c>
      <c r="D98">
        <v>95</v>
      </c>
      <c r="E98">
        <f t="shared" si="28"/>
        <v>2.2799999999999998</v>
      </c>
      <c r="F98">
        <f t="shared" si="31"/>
        <v>1.8696000000000006</v>
      </c>
      <c r="N98" t="s">
        <v>5</v>
      </c>
    </row>
    <row r="99" spans="1:15">
      <c r="N99" t="s">
        <v>5</v>
      </c>
    </row>
    <row r="100" spans="1:15">
      <c r="C100">
        <f t="shared" ref="C100:L100" si="33">+AVERAGE(C89:C98)</f>
        <v>3.5779999999999994</v>
      </c>
      <c r="D100">
        <f t="shared" si="33"/>
        <v>100.4</v>
      </c>
      <c r="E100">
        <f t="shared" si="33"/>
        <v>2.4095999999999997</v>
      </c>
      <c r="F100">
        <f t="shared" si="33"/>
        <v>3.9737999999999993</v>
      </c>
      <c r="G100">
        <f t="shared" si="33"/>
        <v>2.3475999999999999</v>
      </c>
      <c r="H100">
        <f t="shared" si="33"/>
        <v>0.83111111111111102</v>
      </c>
      <c r="I100">
        <f t="shared" si="33"/>
        <v>2.8274398484073959</v>
      </c>
      <c r="J100" t="e">
        <f t="shared" si="33"/>
        <v>#DIV/0!</v>
      </c>
      <c r="K100" t="e">
        <f t="shared" si="33"/>
        <v>#DIV/0!</v>
      </c>
      <c r="L100" t="e">
        <f t="shared" si="33"/>
        <v>#DIV/0!</v>
      </c>
      <c r="O100">
        <f>+AVERAGE(O89:O98)</f>
        <v>4.6219495218989569E-2</v>
      </c>
    </row>
    <row r="102" spans="1:15">
      <c r="N102" t="s">
        <v>5</v>
      </c>
    </row>
    <row r="106" spans="1:15">
      <c r="A106" t="s">
        <v>44</v>
      </c>
      <c r="C106" t="s">
        <v>45</v>
      </c>
    </row>
    <row r="107" spans="1:15">
      <c r="B107" t="s">
        <v>13</v>
      </c>
      <c r="D107" t="s">
        <v>14</v>
      </c>
      <c r="E107" t="s">
        <v>14</v>
      </c>
      <c r="F107" t="s">
        <v>15</v>
      </c>
      <c r="H107" t="s">
        <v>16</v>
      </c>
      <c r="I107" t="s">
        <v>10</v>
      </c>
      <c r="K107" t="s">
        <v>17</v>
      </c>
      <c r="L107" t="s">
        <v>10</v>
      </c>
      <c r="N107" t="s">
        <v>50</v>
      </c>
      <c r="O107" t="s">
        <v>19</v>
      </c>
    </row>
    <row r="108" spans="1:15">
      <c r="A108" t="s">
        <v>24</v>
      </c>
      <c r="B108" t="s">
        <v>25</v>
      </c>
      <c r="C108" t="s">
        <v>37</v>
      </c>
      <c r="D108" t="s">
        <v>27</v>
      </c>
      <c r="E108" t="s">
        <v>28</v>
      </c>
      <c r="F108" t="s">
        <v>29</v>
      </c>
      <c r="G108" t="s">
        <v>30</v>
      </c>
      <c r="H108" t="s">
        <v>31</v>
      </c>
      <c r="I108" t="s">
        <v>32</v>
      </c>
      <c r="K108" t="s">
        <v>31</v>
      </c>
      <c r="L108" t="s">
        <v>33</v>
      </c>
      <c r="O108" t="s">
        <v>34</v>
      </c>
    </row>
    <row r="109" spans="1:15">
      <c r="A109">
        <v>1</v>
      </c>
      <c r="B109">
        <v>5.4</v>
      </c>
      <c r="C109">
        <v>2.87</v>
      </c>
      <c r="D109">
        <v>107</v>
      </c>
      <c r="E109">
        <f t="shared" ref="E109:E118" si="34">+(((D109/50)*60)*20)/1000</f>
        <v>2.5680000000000001</v>
      </c>
      <c r="F109">
        <f>(5.32-C109)*E109</f>
        <v>6.2916000000000007</v>
      </c>
      <c r="G109">
        <f>+F109-1.84</f>
        <v>4.4516000000000009</v>
      </c>
      <c r="H109">
        <v>1.19</v>
      </c>
      <c r="I109">
        <f t="shared" ref="I109:I117" si="35">+G109/H109</f>
        <v>3.7408403361344549</v>
      </c>
      <c r="N109">
        <v>0.2435398819854217</v>
      </c>
      <c r="O109">
        <f t="shared" ref="O109:O117" si="36">(N88/H109)</f>
        <v>0</v>
      </c>
    </row>
    <row r="110" spans="1:15">
      <c r="A110">
        <v>2</v>
      </c>
      <c r="B110">
        <v>5.37</v>
      </c>
      <c r="C110">
        <v>3.21</v>
      </c>
      <c r="D110">
        <v>96</v>
      </c>
      <c r="E110">
        <f t="shared" si="34"/>
        <v>2.3039999999999998</v>
      </c>
      <c r="F110">
        <f t="shared" ref="F110:F118" si="37">(5.32-C110)*E110</f>
        <v>4.86144</v>
      </c>
      <c r="G110">
        <f t="shared" ref="G110:G117" si="38">+F110-1.84</f>
        <v>3.0214400000000001</v>
      </c>
      <c r="H110">
        <v>1.08</v>
      </c>
      <c r="I110">
        <f t="shared" si="35"/>
        <v>2.7976296296296295</v>
      </c>
      <c r="N110">
        <v>0.10683514820264867</v>
      </c>
      <c r="O110">
        <f t="shared" si="36"/>
        <v>7.5914233129870237E-2</v>
      </c>
    </row>
    <row r="111" spans="1:15">
      <c r="A111">
        <v>3</v>
      </c>
      <c r="B111">
        <v>5.23</v>
      </c>
      <c r="C111">
        <v>3.48</v>
      </c>
      <c r="D111">
        <v>95</v>
      </c>
      <c r="E111">
        <f t="shared" si="34"/>
        <v>2.2799999999999998</v>
      </c>
      <c r="F111">
        <f t="shared" si="37"/>
        <v>4.1952000000000007</v>
      </c>
      <c r="G111">
        <f t="shared" si="38"/>
        <v>2.3552000000000008</v>
      </c>
      <c r="H111">
        <v>0.64</v>
      </c>
      <c r="I111">
        <f t="shared" si="35"/>
        <v>3.680000000000001</v>
      </c>
      <c r="N111">
        <v>0.16923161656506194</v>
      </c>
      <c r="O111">
        <f t="shared" si="36"/>
        <v>0.13802889195884147</v>
      </c>
    </row>
    <row r="112" spans="1:15">
      <c r="A112">
        <v>4</v>
      </c>
      <c r="B112">
        <v>5.26</v>
      </c>
      <c r="C112">
        <v>3.33</v>
      </c>
      <c r="D112">
        <v>100</v>
      </c>
      <c r="E112">
        <f t="shared" si="34"/>
        <v>2.4</v>
      </c>
      <c r="F112">
        <f t="shared" si="37"/>
        <v>4.7760000000000007</v>
      </c>
      <c r="G112">
        <f t="shared" si="38"/>
        <v>2.9360000000000008</v>
      </c>
      <c r="H112">
        <v>1.1000000000000001</v>
      </c>
      <c r="I112">
        <f t="shared" si="35"/>
        <v>2.6690909090909098</v>
      </c>
      <c r="N112">
        <v>0.12117611940298502</v>
      </c>
      <c r="O112">
        <f t="shared" si="36"/>
        <v>4.238067452444861E-2</v>
      </c>
    </row>
    <row r="113" spans="1:15">
      <c r="A113">
        <v>5</v>
      </c>
      <c r="B113">
        <v>5.29</v>
      </c>
      <c r="C113">
        <v>3.43</v>
      </c>
      <c r="D113">
        <v>123</v>
      </c>
      <c r="E113">
        <f t="shared" si="34"/>
        <v>2.952</v>
      </c>
      <c r="F113">
        <f t="shared" si="37"/>
        <v>5.5792800000000007</v>
      </c>
      <c r="G113">
        <f t="shared" si="38"/>
        <v>3.7392800000000008</v>
      </c>
      <c r="H113">
        <v>0.95</v>
      </c>
      <c r="I113">
        <f t="shared" si="35"/>
        <v>3.936084210526317</v>
      </c>
      <c r="N113">
        <v>0.21939701492537309</v>
      </c>
      <c r="O113">
        <f t="shared" si="36"/>
        <v>5.6587034659820297E-2</v>
      </c>
    </row>
    <row r="114" spans="1:15">
      <c r="A114">
        <v>6</v>
      </c>
      <c r="B114">
        <v>5.37</v>
      </c>
      <c r="C114">
        <v>3.82</v>
      </c>
      <c r="D114">
        <v>98</v>
      </c>
      <c r="E114">
        <f t="shared" si="34"/>
        <v>2.3519999999999999</v>
      </c>
      <c r="F114">
        <f t="shared" si="37"/>
        <v>3.5280000000000009</v>
      </c>
      <c r="G114">
        <f t="shared" si="38"/>
        <v>1.6880000000000008</v>
      </c>
      <c r="H114">
        <v>0.62</v>
      </c>
      <c r="I114">
        <f t="shared" si="35"/>
        <v>2.7225806451612917</v>
      </c>
      <c r="N114">
        <v>0.14337564807541239</v>
      </c>
      <c r="O114">
        <f t="shared" si="36"/>
        <v>9.5620315541016188E-2</v>
      </c>
    </row>
    <row r="115" spans="1:15">
      <c r="A115">
        <v>7</v>
      </c>
      <c r="B115" t="s">
        <v>5</v>
      </c>
      <c r="C115">
        <v>4.0599999999999996</v>
      </c>
      <c r="D115">
        <v>98</v>
      </c>
      <c r="E115">
        <f t="shared" si="34"/>
        <v>2.3519999999999999</v>
      </c>
      <c r="F115">
        <f t="shared" si="37"/>
        <v>2.9635200000000013</v>
      </c>
      <c r="G115">
        <f t="shared" si="38"/>
        <v>1.1235200000000012</v>
      </c>
      <c r="H115">
        <v>0.94</v>
      </c>
      <c r="I115">
        <f t="shared" si="35"/>
        <v>1.1952340425531929</v>
      </c>
      <c r="N115">
        <v>1.2710221046665318E-2</v>
      </c>
      <c r="O115">
        <f t="shared" si="36"/>
        <v>5.3535261535854625E-2</v>
      </c>
    </row>
    <row r="116" spans="1:15">
      <c r="A116">
        <v>8</v>
      </c>
      <c r="B116">
        <f>+AVERAGE(B109:B114)</f>
        <v>5.3199999999999994</v>
      </c>
      <c r="C116">
        <v>3.86</v>
      </c>
      <c r="D116">
        <v>96</v>
      </c>
      <c r="E116">
        <f t="shared" si="34"/>
        <v>2.3039999999999998</v>
      </c>
      <c r="F116">
        <f t="shared" si="37"/>
        <v>3.3638400000000006</v>
      </c>
      <c r="G116">
        <f t="shared" si="38"/>
        <v>1.5238400000000005</v>
      </c>
      <c r="H116">
        <v>0.36</v>
      </c>
      <c r="I116">
        <f t="shared" si="35"/>
        <v>4.2328888888888905</v>
      </c>
      <c r="N116">
        <v>0.24411416888161924</v>
      </c>
      <c r="O116">
        <f t="shared" si="36"/>
        <v>-2.3105469830208468E-2</v>
      </c>
    </row>
    <row r="117" spans="1:15">
      <c r="A117">
        <v>9</v>
      </c>
      <c r="C117">
        <v>4.3099999999999996</v>
      </c>
      <c r="D117">
        <v>96</v>
      </c>
      <c r="E117">
        <f t="shared" si="34"/>
        <v>2.3039999999999998</v>
      </c>
      <c r="F117">
        <f t="shared" si="37"/>
        <v>2.3270400000000016</v>
      </c>
      <c r="G117">
        <f t="shared" si="38"/>
        <v>0.48704000000000147</v>
      </c>
      <c r="H117">
        <v>0.6</v>
      </c>
      <c r="I117">
        <f t="shared" si="35"/>
        <v>0.81173333333333586</v>
      </c>
      <c r="N117">
        <v>7.717082939731712E-2</v>
      </c>
      <c r="O117">
        <f t="shared" si="36"/>
        <v>-2.8826727642276395E-2</v>
      </c>
    </row>
    <row r="118" spans="1:15">
      <c r="A118" t="s">
        <v>35</v>
      </c>
      <c r="C118">
        <v>4.51</v>
      </c>
      <c r="D118">
        <v>95</v>
      </c>
      <c r="E118">
        <f t="shared" si="34"/>
        <v>2.2799999999999998</v>
      </c>
      <c r="F118">
        <f t="shared" si="37"/>
        <v>1.8468000000000009</v>
      </c>
    </row>
    <row r="120" spans="1:15">
      <c r="C120">
        <f t="shared" ref="C120:L120" si="39">+AVERAGE(C109:C118)</f>
        <v>3.6879999999999997</v>
      </c>
      <c r="D120">
        <f t="shared" si="39"/>
        <v>100.4</v>
      </c>
      <c r="E120">
        <f t="shared" si="39"/>
        <v>2.4095999999999997</v>
      </c>
      <c r="F120">
        <f t="shared" si="39"/>
        <v>3.9732720000000015</v>
      </c>
      <c r="G120">
        <f t="shared" si="39"/>
        <v>2.3695466666666674</v>
      </c>
      <c r="H120">
        <f t="shared" si="39"/>
        <v>0.83111111111111102</v>
      </c>
      <c r="I120">
        <f t="shared" si="39"/>
        <v>2.8651202217020022</v>
      </c>
      <c r="J120" t="e">
        <f t="shared" si="39"/>
        <v>#DIV/0!</v>
      </c>
      <c r="K120" t="e">
        <f t="shared" si="39"/>
        <v>#DIV/0!</v>
      </c>
      <c r="L120" t="e">
        <f t="shared" si="39"/>
        <v>#DIV/0!</v>
      </c>
      <c r="N120">
        <f>+AVERAGE(N109:N118)</f>
        <v>0.14861673872027831</v>
      </c>
      <c r="O120">
        <f>+AVERAGE(O109:O118)</f>
        <v>4.5570468208596289E-2</v>
      </c>
    </row>
    <row r="125" spans="1:15">
      <c r="A125" t="s">
        <v>46</v>
      </c>
      <c r="C125" t="s">
        <v>47</v>
      </c>
    </row>
    <row r="126" spans="1:15">
      <c r="B126" t="s">
        <v>13</v>
      </c>
      <c r="D126" t="s">
        <v>14</v>
      </c>
      <c r="E126" t="s">
        <v>14</v>
      </c>
      <c r="F126" t="s">
        <v>15</v>
      </c>
      <c r="H126" t="s">
        <v>16</v>
      </c>
      <c r="I126" t="s">
        <v>10</v>
      </c>
      <c r="K126" t="s">
        <v>17</v>
      </c>
      <c r="L126" t="s">
        <v>10</v>
      </c>
      <c r="N126" t="s">
        <v>51</v>
      </c>
      <c r="O126" t="s">
        <v>19</v>
      </c>
    </row>
    <row r="127" spans="1:15">
      <c r="A127" t="s">
        <v>24</v>
      </c>
      <c r="B127" t="s">
        <v>25</v>
      </c>
      <c r="C127" t="s">
        <v>37</v>
      </c>
      <c r="D127" t="s">
        <v>27</v>
      </c>
      <c r="E127" t="s">
        <v>28</v>
      </c>
      <c r="F127" t="s">
        <v>29</v>
      </c>
      <c r="G127" t="s">
        <v>30</v>
      </c>
      <c r="H127" t="s">
        <v>31</v>
      </c>
      <c r="I127" t="s">
        <v>32</v>
      </c>
      <c r="K127" t="s">
        <v>31</v>
      </c>
      <c r="L127" t="s">
        <v>33</v>
      </c>
      <c r="N127">
        <v>4.7168008048292104E-4</v>
      </c>
      <c r="O127" t="s">
        <v>34</v>
      </c>
    </row>
    <row r="128" spans="1:15">
      <c r="A128">
        <v>1</v>
      </c>
      <c r="B128">
        <v>5.3</v>
      </c>
      <c r="C128">
        <v>3.21</v>
      </c>
      <c r="D128">
        <v>102</v>
      </c>
      <c r="E128">
        <f t="shared" ref="E128:E137" si="40">+(((D128/50)*60)*20)/1000</f>
        <v>2.448</v>
      </c>
      <c r="F128">
        <f>(5.25-C128)*E128</f>
        <v>4.9939200000000001</v>
      </c>
      <c r="G128">
        <f>+F128-1.83</f>
        <v>3.1639200000000001</v>
      </c>
      <c r="H128">
        <v>1.19</v>
      </c>
      <c r="I128">
        <f t="shared" ref="I128:I136" si="41">+G128/H128</f>
        <v>2.6587563025210086</v>
      </c>
      <c r="N128">
        <v>-8.3789235412474912E-3</v>
      </c>
      <c r="O128" t="e">
        <f>(#REF!/H128)</f>
        <v>#REF!</v>
      </c>
    </row>
    <row r="129" spans="1:15">
      <c r="A129">
        <v>2</v>
      </c>
      <c r="B129">
        <v>5.28</v>
      </c>
      <c r="C129">
        <v>3.28</v>
      </c>
      <c r="D129">
        <v>98</v>
      </c>
      <c r="E129">
        <f t="shared" si="40"/>
        <v>2.3519999999999999</v>
      </c>
      <c r="F129">
        <f t="shared" ref="F129:F137" si="42">(5.25-C129)*E129</f>
        <v>4.6334400000000002</v>
      </c>
      <c r="G129">
        <f t="shared" ref="G129:G136" si="43">+F129-1.83</f>
        <v>2.8034400000000002</v>
      </c>
      <c r="H129">
        <v>1.08</v>
      </c>
      <c r="I129">
        <f t="shared" si="41"/>
        <v>2.5957777777777777</v>
      </c>
      <c r="N129">
        <v>1.010083170254405E-2</v>
      </c>
      <c r="O129">
        <f>(N124/H129)</f>
        <v>0</v>
      </c>
    </row>
    <row r="130" spans="1:15">
      <c r="A130">
        <v>3</v>
      </c>
      <c r="B130">
        <v>5.28</v>
      </c>
      <c r="C130">
        <v>3.41</v>
      </c>
      <c r="D130">
        <v>108</v>
      </c>
      <c r="E130">
        <f t="shared" si="40"/>
        <v>2.5920000000000005</v>
      </c>
      <c r="F130">
        <f t="shared" si="42"/>
        <v>4.7692800000000002</v>
      </c>
      <c r="G130">
        <f t="shared" si="43"/>
        <v>2.9392800000000001</v>
      </c>
      <c r="H130">
        <v>0.64</v>
      </c>
      <c r="I130">
        <f t="shared" si="41"/>
        <v>4.592625</v>
      </c>
      <c r="N130">
        <v>-3.733571428571416E-3</v>
      </c>
      <c r="O130">
        <f>(N115/H130)</f>
        <v>1.9859720385414559E-2</v>
      </c>
    </row>
    <row r="131" spans="1:15">
      <c r="A131">
        <v>4</v>
      </c>
      <c r="B131">
        <v>5.23</v>
      </c>
      <c r="C131">
        <v>3.58</v>
      </c>
      <c r="D131">
        <v>102</v>
      </c>
      <c r="E131">
        <f t="shared" si="40"/>
        <v>2.448</v>
      </c>
      <c r="F131">
        <f t="shared" si="42"/>
        <v>4.0881599999999993</v>
      </c>
      <c r="G131">
        <f t="shared" si="43"/>
        <v>2.2581599999999993</v>
      </c>
      <c r="H131">
        <v>1.1000000000000001</v>
      </c>
      <c r="I131">
        <f t="shared" si="41"/>
        <v>2.0528727272727263</v>
      </c>
      <c r="N131">
        <v>-1.0018233082706756E-2</v>
      </c>
      <c r="O131" t="e">
        <f t="shared" ref="O131:O132" si="44">(N126/H131)</f>
        <v>#VALUE!</v>
      </c>
    </row>
    <row r="132" spans="1:15">
      <c r="A132">
        <v>5</v>
      </c>
      <c r="B132">
        <v>5.2</v>
      </c>
      <c r="C132">
        <v>3.2</v>
      </c>
      <c r="D132">
        <v>125</v>
      </c>
      <c r="E132">
        <f t="shared" si="40"/>
        <v>3</v>
      </c>
      <c r="F132">
        <f t="shared" si="42"/>
        <v>6.1499999999999995</v>
      </c>
      <c r="G132">
        <f t="shared" si="43"/>
        <v>4.3199999999999994</v>
      </c>
      <c r="H132">
        <v>0.95</v>
      </c>
      <c r="I132">
        <f t="shared" si="41"/>
        <v>4.5473684210526315</v>
      </c>
      <c r="N132">
        <v>2.4477305605786624E-2</v>
      </c>
      <c r="O132">
        <f t="shared" si="44"/>
        <v>4.9650534787675903E-4</v>
      </c>
    </row>
    <row r="133" spans="1:15">
      <c r="A133">
        <v>6</v>
      </c>
      <c r="B133">
        <v>5.25</v>
      </c>
      <c r="C133">
        <v>3.7</v>
      </c>
      <c r="D133">
        <v>95</v>
      </c>
      <c r="E133">
        <f t="shared" si="40"/>
        <v>2.2799999999999998</v>
      </c>
      <c r="F133">
        <f t="shared" si="42"/>
        <v>3.5339999999999994</v>
      </c>
      <c r="G133">
        <f t="shared" si="43"/>
        <v>1.7039999999999993</v>
      </c>
      <c r="H133">
        <v>0.62</v>
      </c>
      <c r="I133">
        <f t="shared" si="41"/>
        <v>2.7483870967741924</v>
      </c>
      <c r="N133">
        <v>8.6037671232876804E-3</v>
      </c>
      <c r="O133" t="e">
        <f>(#REF!/H133)</f>
        <v>#REF!</v>
      </c>
    </row>
    <row r="134" spans="1:15">
      <c r="A134">
        <v>7</v>
      </c>
      <c r="B134" t="s">
        <v>5</v>
      </c>
      <c r="C134">
        <v>3.81</v>
      </c>
      <c r="D134">
        <v>98</v>
      </c>
      <c r="E134">
        <f t="shared" si="40"/>
        <v>2.3519999999999999</v>
      </c>
      <c r="F134">
        <f t="shared" si="42"/>
        <v>3.3868799999999997</v>
      </c>
      <c r="G134">
        <f t="shared" si="43"/>
        <v>1.5568799999999996</v>
      </c>
      <c r="H134">
        <v>0.94</v>
      </c>
      <c r="I134">
        <f t="shared" si="41"/>
        <v>1.6562553191489358</v>
      </c>
      <c r="N134">
        <v>2.1364737793851733E-2</v>
      </c>
      <c r="O134" t="e">
        <f>(#REF!/H134)</f>
        <v>#REF!</v>
      </c>
    </row>
    <row r="135" spans="1:15">
      <c r="A135">
        <v>8</v>
      </c>
      <c r="B135">
        <f>+AVERAGE(B128:B133)</f>
        <v>5.2566666666666668</v>
      </c>
      <c r="C135">
        <v>3.77</v>
      </c>
      <c r="D135">
        <v>116</v>
      </c>
      <c r="E135">
        <f t="shared" si="40"/>
        <v>2.7839999999999998</v>
      </c>
      <c r="F135">
        <f t="shared" si="42"/>
        <v>4.1203199999999995</v>
      </c>
      <c r="G135">
        <f t="shared" si="43"/>
        <v>2.2903199999999995</v>
      </c>
      <c r="H135">
        <v>0.36</v>
      </c>
      <c r="I135">
        <f t="shared" si="41"/>
        <v>6.3619999999999983</v>
      </c>
      <c r="N135">
        <v>-7.6768101761252525E-3</v>
      </c>
      <c r="O135" t="e">
        <f t="shared" ref="O135:O136" si="45">(N98/H135)</f>
        <v>#VALUE!</v>
      </c>
    </row>
    <row r="136" spans="1:15">
      <c r="A136">
        <v>9</v>
      </c>
      <c r="C136">
        <v>4.17</v>
      </c>
      <c r="D136">
        <v>93</v>
      </c>
      <c r="E136">
        <f t="shared" si="40"/>
        <v>2.2320000000000002</v>
      </c>
      <c r="F136">
        <f t="shared" si="42"/>
        <v>2.4105600000000003</v>
      </c>
      <c r="G136">
        <f t="shared" si="43"/>
        <v>0.58056000000000019</v>
      </c>
      <c r="H136">
        <v>0.6</v>
      </c>
      <c r="I136">
        <f t="shared" si="41"/>
        <v>0.96760000000000035</v>
      </c>
      <c r="O136" t="e">
        <f t="shared" si="45"/>
        <v>#VALUE!</v>
      </c>
    </row>
    <row r="137" spans="1:15">
      <c r="A137" t="s">
        <v>35</v>
      </c>
      <c r="C137">
        <v>4.41</v>
      </c>
      <c r="D137">
        <v>91</v>
      </c>
      <c r="E137">
        <f t="shared" si="40"/>
        <v>2.1840000000000002</v>
      </c>
      <c r="F137">
        <f t="shared" si="42"/>
        <v>1.8345599999999997</v>
      </c>
      <c r="N137" t="s">
        <v>52</v>
      </c>
    </row>
    <row r="138" spans="1:15">
      <c r="N138">
        <v>8.0321734568980542E-3</v>
      </c>
    </row>
    <row r="139" spans="1:15">
      <c r="C139">
        <f t="shared" ref="C139:L139" si="46">+AVERAGE(C128:C137)</f>
        <v>3.653999999999999</v>
      </c>
      <c r="D139">
        <f t="shared" si="46"/>
        <v>102.8</v>
      </c>
      <c r="E139">
        <f t="shared" si="46"/>
        <v>2.4671999999999996</v>
      </c>
      <c r="F139">
        <f t="shared" si="46"/>
        <v>3.9921119999999988</v>
      </c>
      <c r="G139">
        <f t="shared" si="46"/>
        <v>2.40184</v>
      </c>
      <c r="H139">
        <f t="shared" si="46"/>
        <v>0.83111111111111102</v>
      </c>
      <c r="I139">
        <f t="shared" si="46"/>
        <v>3.1312936271719192</v>
      </c>
      <c r="J139" t="e">
        <f t="shared" si="46"/>
        <v>#DIV/0!</v>
      </c>
      <c r="K139" t="e">
        <f t="shared" si="46"/>
        <v>#DIV/0!</v>
      </c>
      <c r="L139" t="e">
        <f t="shared" si="46"/>
        <v>#DIV/0!</v>
      </c>
      <c r="N139">
        <v>9.4630096367679745E-2</v>
      </c>
      <c r="O139" t="e">
        <f>+AVERAGE(O128:O137)</f>
        <v>#REF!</v>
      </c>
    </row>
    <row r="140" spans="1:15">
      <c r="N140">
        <v>0.10645790532669702</v>
      </c>
    </row>
    <row r="141" spans="1:15">
      <c r="N141">
        <v>7.612133072407043E-2</v>
      </c>
    </row>
    <row r="142" spans="1:15">
      <c r="N142">
        <v>-3.3672180451127902E-3</v>
      </c>
    </row>
    <row r="143" spans="1:15">
      <c r="N143">
        <v>0</v>
      </c>
    </row>
    <row r="144" spans="1:15">
      <c r="A144" t="s">
        <v>48</v>
      </c>
      <c r="C144" t="s">
        <v>49</v>
      </c>
      <c r="N144">
        <v>9.1454458932140478E-2</v>
      </c>
    </row>
    <row r="145" spans="1:15">
      <c r="B145" t="s">
        <v>13</v>
      </c>
      <c r="D145" t="s">
        <v>14</v>
      </c>
      <c r="E145" t="s">
        <v>14</v>
      </c>
      <c r="F145" t="s">
        <v>15</v>
      </c>
      <c r="H145" t="s">
        <v>16</v>
      </c>
      <c r="I145" t="s">
        <v>10</v>
      </c>
      <c r="K145" t="s">
        <v>17</v>
      </c>
      <c r="L145" t="s">
        <v>10</v>
      </c>
      <c r="N145">
        <v>-6.7724791430631443E-3</v>
      </c>
      <c r="O145" t="s">
        <v>19</v>
      </c>
    </row>
    <row r="146" spans="1:15">
      <c r="A146" t="s">
        <v>24</v>
      </c>
      <c r="B146" t="s">
        <v>25</v>
      </c>
      <c r="C146" t="s">
        <v>37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32</v>
      </c>
      <c r="K146" t="s">
        <v>31</v>
      </c>
      <c r="L146" t="s">
        <v>33</v>
      </c>
      <c r="N146">
        <v>-2.8438184067765786E-4</v>
      </c>
      <c r="O146" t="s">
        <v>34</v>
      </c>
    </row>
    <row r="147" spans="1:15">
      <c r="A147">
        <v>1</v>
      </c>
      <c r="B147">
        <v>5.25</v>
      </c>
      <c r="C147">
        <v>3.21</v>
      </c>
      <c r="D147">
        <v>107</v>
      </c>
      <c r="E147">
        <f t="shared" ref="E147:E156" si="47">+(((D147/50)*60)*20)/1000</f>
        <v>2.5680000000000001</v>
      </c>
      <c r="F147">
        <f>(5.24-C147)*E147</f>
        <v>5.2130400000000003</v>
      </c>
      <c r="G147">
        <f>+F147-1.86</f>
        <v>3.35304</v>
      </c>
      <c r="H147">
        <v>1.19</v>
      </c>
      <c r="I147">
        <f t="shared" ref="I147:I155" si="48">+G147/H147</f>
        <v>2.8176806722689078</v>
      </c>
      <c r="O147">
        <f>(N109/H147)</f>
        <v>0.20465536301295942</v>
      </c>
    </row>
    <row r="148" spans="1:15">
      <c r="A148">
        <v>2</v>
      </c>
      <c r="B148">
        <v>5.24</v>
      </c>
      <c r="C148">
        <v>2.85</v>
      </c>
      <c r="D148">
        <v>96</v>
      </c>
      <c r="E148">
        <f t="shared" si="47"/>
        <v>2.3039999999999998</v>
      </c>
      <c r="F148">
        <f t="shared" ref="F148:F156" si="49">(5.24-C148)*E148</f>
        <v>5.5065599999999995</v>
      </c>
      <c r="G148">
        <f t="shared" ref="G148:G155" si="50">+F148-1.86</f>
        <v>3.6465599999999991</v>
      </c>
      <c r="H148">
        <v>1.08</v>
      </c>
      <c r="I148">
        <f t="shared" si="48"/>
        <v>3.3764444444444432</v>
      </c>
      <c r="O148">
        <f t="shared" ref="O148:O151" si="51">(N143/H148)</f>
        <v>0</v>
      </c>
    </row>
    <row r="149" spans="1:15">
      <c r="A149">
        <v>3</v>
      </c>
      <c r="B149">
        <v>5.12</v>
      </c>
      <c r="C149">
        <v>3.23</v>
      </c>
      <c r="D149">
        <v>95</v>
      </c>
      <c r="E149">
        <f t="shared" si="47"/>
        <v>2.2799999999999998</v>
      </c>
      <c r="F149">
        <f t="shared" si="49"/>
        <v>4.5827999999999998</v>
      </c>
      <c r="G149">
        <f t="shared" si="50"/>
        <v>2.7227999999999994</v>
      </c>
      <c r="H149">
        <v>0.64</v>
      </c>
      <c r="I149">
        <f t="shared" si="48"/>
        <v>4.2543749999999987</v>
      </c>
      <c r="O149">
        <f t="shared" si="51"/>
        <v>0.14289759208146949</v>
      </c>
    </row>
    <row r="150" spans="1:15">
      <c r="A150">
        <v>4</v>
      </c>
      <c r="B150">
        <v>5.18</v>
      </c>
      <c r="C150">
        <v>3.04</v>
      </c>
      <c r="D150">
        <v>100</v>
      </c>
      <c r="E150">
        <f t="shared" si="47"/>
        <v>2.4</v>
      </c>
      <c r="F150">
        <f t="shared" si="49"/>
        <v>5.28</v>
      </c>
      <c r="G150">
        <f t="shared" si="50"/>
        <v>3.42</v>
      </c>
      <c r="H150">
        <v>1.1000000000000001</v>
      </c>
      <c r="I150">
        <f t="shared" si="48"/>
        <v>3.1090909090909089</v>
      </c>
      <c r="O150">
        <f t="shared" si="51"/>
        <v>-6.1567992209664944E-3</v>
      </c>
    </row>
    <row r="151" spans="1:15">
      <c r="A151">
        <v>5</v>
      </c>
      <c r="B151">
        <v>5.33</v>
      </c>
      <c r="C151">
        <v>3.31</v>
      </c>
      <c r="D151">
        <v>123</v>
      </c>
      <c r="E151">
        <f t="shared" si="47"/>
        <v>2.952</v>
      </c>
      <c r="F151">
        <f t="shared" si="49"/>
        <v>5.6973600000000006</v>
      </c>
      <c r="G151">
        <f t="shared" si="50"/>
        <v>3.8373600000000003</v>
      </c>
      <c r="H151">
        <v>0.95</v>
      </c>
      <c r="I151">
        <f t="shared" si="48"/>
        <v>4.0393263157894745</v>
      </c>
      <c r="O151">
        <f t="shared" si="51"/>
        <v>-2.9934930597648197E-4</v>
      </c>
    </row>
    <row r="152" spans="1:15">
      <c r="A152">
        <v>6</v>
      </c>
      <c r="B152">
        <v>5.36</v>
      </c>
      <c r="C152">
        <v>3.63</v>
      </c>
      <c r="D152">
        <v>98</v>
      </c>
      <c r="E152">
        <f t="shared" si="47"/>
        <v>2.3519999999999999</v>
      </c>
      <c r="F152">
        <f t="shared" si="49"/>
        <v>3.7867200000000008</v>
      </c>
      <c r="G152">
        <f t="shared" si="50"/>
        <v>1.9267200000000007</v>
      </c>
      <c r="H152">
        <v>0.62</v>
      </c>
      <c r="I152">
        <f t="shared" si="48"/>
        <v>3.1076129032258075</v>
      </c>
      <c r="O152">
        <f t="shared" ref="O152:O155" si="52">(N114/H152)</f>
        <v>0.23125104528292323</v>
      </c>
    </row>
    <row r="153" spans="1:15">
      <c r="A153">
        <v>7</v>
      </c>
      <c r="B153" t="s">
        <v>5</v>
      </c>
      <c r="C153">
        <v>3.85</v>
      </c>
      <c r="D153">
        <v>98</v>
      </c>
      <c r="E153">
        <f t="shared" si="47"/>
        <v>2.3519999999999999</v>
      </c>
      <c r="F153">
        <f t="shared" si="49"/>
        <v>3.2692800000000002</v>
      </c>
      <c r="G153">
        <f t="shared" si="50"/>
        <v>1.4092800000000001</v>
      </c>
      <c r="H153">
        <v>0.94</v>
      </c>
      <c r="I153">
        <f t="shared" si="48"/>
        <v>1.4992340425531916</v>
      </c>
      <c r="O153">
        <f t="shared" si="52"/>
        <v>1.3521511751771615E-2</v>
      </c>
    </row>
    <row r="154" spans="1:15">
      <c r="A154">
        <v>8</v>
      </c>
      <c r="B154">
        <f>+AVERAGE(B147:B152)</f>
        <v>5.2466666666666661</v>
      </c>
      <c r="C154">
        <v>3.74</v>
      </c>
      <c r="D154">
        <v>96</v>
      </c>
      <c r="E154">
        <f t="shared" si="47"/>
        <v>2.3039999999999998</v>
      </c>
      <c r="F154">
        <f t="shared" si="49"/>
        <v>3.4559999999999995</v>
      </c>
      <c r="G154">
        <f t="shared" si="50"/>
        <v>1.5959999999999994</v>
      </c>
      <c r="H154">
        <v>0.36</v>
      </c>
      <c r="I154">
        <f t="shared" si="48"/>
        <v>4.4333333333333318</v>
      </c>
      <c r="O154">
        <f t="shared" si="52"/>
        <v>0.67809491356005347</v>
      </c>
    </row>
    <row r="155" spans="1:15">
      <c r="A155">
        <v>9</v>
      </c>
      <c r="C155">
        <v>4.17</v>
      </c>
      <c r="D155">
        <v>96</v>
      </c>
      <c r="E155">
        <f t="shared" si="47"/>
        <v>2.3039999999999998</v>
      </c>
      <c r="F155">
        <f t="shared" si="49"/>
        <v>2.4652800000000004</v>
      </c>
      <c r="G155">
        <f t="shared" si="50"/>
        <v>0.60528000000000026</v>
      </c>
      <c r="H155">
        <v>0.6</v>
      </c>
      <c r="I155">
        <f t="shared" si="48"/>
        <v>1.0088000000000006</v>
      </c>
      <c r="O155">
        <f t="shared" si="52"/>
        <v>0.12861804899552853</v>
      </c>
    </row>
    <row r="156" spans="1:15">
      <c r="A156" t="s">
        <v>35</v>
      </c>
      <c r="C156">
        <v>4.42</v>
      </c>
      <c r="D156">
        <v>95</v>
      </c>
      <c r="E156">
        <f t="shared" si="47"/>
        <v>2.2799999999999998</v>
      </c>
      <c r="F156">
        <f t="shared" si="49"/>
        <v>1.8696000000000006</v>
      </c>
    </row>
    <row r="158" spans="1:15">
      <c r="C158">
        <f>+AVERAGE(C148:C156)</f>
        <v>3.5822222222222231</v>
      </c>
      <c r="D158">
        <f t="shared" ref="D158:L158" si="53">+AVERAGE(D147:D156)</f>
        <v>100.4</v>
      </c>
      <c r="E158">
        <f t="shared" si="53"/>
        <v>2.4095999999999997</v>
      </c>
      <c r="F158">
        <f t="shared" si="53"/>
        <v>4.1126639999999997</v>
      </c>
      <c r="G158">
        <f t="shared" si="53"/>
        <v>2.5018933333333333</v>
      </c>
      <c r="H158">
        <f t="shared" si="53"/>
        <v>0.83111111111111102</v>
      </c>
      <c r="I158">
        <f t="shared" si="53"/>
        <v>3.0717664023006739</v>
      </c>
      <c r="J158" t="e">
        <f t="shared" si="53"/>
        <v>#DIV/0!</v>
      </c>
      <c r="K158" t="e">
        <f t="shared" si="53"/>
        <v>#DIV/0!</v>
      </c>
      <c r="L158" t="e">
        <f t="shared" si="53"/>
        <v>#DIV/0!</v>
      </c>
      <c r="O158">
        <f>+AVERAGE(O147:O156)</f>
        <v>0.15473136957308473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58"/>
  <sheetViews>
    <sheetView workbookViewId="0"/>
  </sheetViews>
  <sheetFormatPr baseColWidth="10" defaultRowHeight="12.75"/>
  <sheetData>
    <row r="1" spans="1:21">
      <c r="A1" t="s">
        <v>0</v>
      </c>
    </row>
    <row r="2" spans="1:21">
      <c r="A2" t="s">
        <v>1</v>
      </c>
    </row>
    <row r="3" spans="1:21">
      <c r="A3" t="s">
        <v>57</v>
      </c>
    </row>
    <row r="4" spans="1:21">
      <c r="A4" t="s">
        <v>58</v>
      </c>
    </row>
    <row r="5" spans="1:21">
      <c r="A5" t="s">
        <v>59</v>
      </c>
    </row>
    <row r="6" spans="1:21">
      <c r="A6" t="s">
        <v>5</v>
      </c>
      <c r="S6" t="s">
        <v>6</v>
      </c>
      <c r="T6" t="s">
        <v>7</v>
      </c>
      <c r="U6" t="s">
        <v>8</v>
      </c>
    </row>
    <row r="7" spans="1:21">
      <c r="A7" t="s">
        <v>9</v>
      </c>
      <c r="Q7" t="s">
        <v>10</v>
      </c>
      <c r="S7" t="s">
        <v>11</v>
      </c>
      <c r="T7" t="s">
        <v>12</v>
      </c>
    </row>
    <row r="8" spans="1:21">
      <c r="B8" t="s">
        <v>13</v>
      </c>
      <c r="D8" t="s">
        <v>14</v>
      </c>
      <c r="E8" t="s">
        <v>14</v>
      </c>
      <c r="F8" t="s">
        <v>15</v>
      </c>
      <c r="H8" t="s">
        <v>16</v>
      </c>
      <c r="I8" t="s">
        <v>10</v>
      </c>
      <c r="K8" t="s">
        <v>17</v>
      </c>
      <c r="L8" t="s">
        <v>10</v>
      </c>
      <c r="N8" t="s">
        <v>18</v>
      </c>
      <c r="O8" t="s">
        <v>19</v>
      </c>
      <c r="P8" t="s">
        <v>20</v>
      </c>
      <c r="Q8" t="s">
        <v>21</v>
      </c>
      <c r="R8" t="s">
        <v>22</v>
      </c>
      <c r="S8" t="s">
        <v>23</v>
      </c>
      <c r="T8" t="s">
        <v>23</v>
      </c>
    </row>
    <row r="9" spans="1:21">
      <c r="A9" t="s">
        <v>24</v>
      </c>
      <c r="B9" t="s">
        <v>25</v>
      </c>
      <c r="C9" t="s">
        <v>26</v>
      </c>
      <c r="D9" t="s">
        <v>27</v>
      </c>
      <c r="E9" t="s">
        <v>28</v>
      </c>
      <c r="F9" t="s">
        <v>29</v>
      </c>
      <c r="G9" t="s">
        <v>30</v>
      </c>
      <c r="H9" t="s">
        <v>31</v>
      </c>
      <c r="I9" t="s">
        <v>32</v>
      </c>
      <c r="K9" t="s">
        <v>31</v>
      </c>
      <c r="L9" t="s">
        <v>33</v>
      </c>
      <c r="O9" t="s">
        <v>34</v>
      </c>
      <c r="P9">
        <v>0</v>
      </c>
      <c r="Q9">
        <v>2.8</v>
      </c>
      <c r="R9">
        <v>1.2E-2</v>
      </c>
      <c r="S9">
        <f t="shared" ref="S9:S13" si="0">+Q9*62.5</f>
        <v>175</v>
      </c>
      <c r="T9">
        <f t="shared" ref="T9:T13" si="1">+R9*58.9</f>
        <v>0.70679999999999998</v>
      </c>
      <c r="U9">
        <f t="shared" ref="U9:U13" si="2">+S9/T9</f>
        <v>247.5947934352009</v>
      </c>
    </row>
    <row r="10" spans="1:21">
      <c r="A10">
        <v>1</v>
      </c>
      <c r="B10">
        <v>5.12</v>
      </c>
      <c r="C10">
        <v>3.6</v>
      </c>
      <c r="D10">
        <v>108</v>
      </c>
      <c r="E10">
        <f t="shared" ref="E10:E19" si="3">+(((D10/50)*60)*20)/1000</f>
        <v>2.5920000000000005</v>
      </c>
      <c r="F10">
        <f>(5.16-C10)*E10</f>
        <v>4.0435200000000009</v>
      </c>
      <c r="G10">
        <f>+F10-1.53</f>
        <v>2.5135200000000006</v>
      </c>
      <c r="H10">
        <v>1.0780000000000001</v>
      </c>
      <c r="I10">
        <f t="shared" ref="I10:I18" si="4">+G10/H10</f>
        <v>2.3316512059369208</v>
      </c>
      <c r="K10">
        <v>0.2737</v>
      </c>
      <c r="N10">
        <v>4.0708010335917134E-3</v>
      </c>
      <c r="O10">
        <f t="shared" ref="O10:O18" si="5">(N10/H10)</f>
        <v>3.7762532779143905E-3</v>
      </c>
      <c r="P10">
        <v>1</v>
      </c>
      <c r="Q10">
        <v>2.66</v>
      </c>
      <c r="R10">
        <v>4.1000000000000002E-2</v>
      </c>
      <c r="S10">
        <f t="shared" si="0"/>
        <v>166.25</v>
      </c>
      <c r="T10">
        <f t="shared" si="1"/>
        <v>2.4148999999999998</v>
      </c>
      <c r="U10">
        <f t="shared" si="2"/>
        <v>68.843430369787569</v>
      </c>
    </row>
    <row r="11" spans="1:21">
      <c r="A11">
        <v>2</v>
      </c>
      <c r="B11">
        <v>5.09</v>
      </c>
      <c r="C11">
        <v>3.29</v>
      </c>
      <c r="D11">
        <v>94</v>
      </c>
      <c r="E11">
        <f t="shared" si="3"/>
        <v>2.2559999999999998</v>
      </c>
      <c r="F11">
        <f t="shared" ref="F11:F19" si="6">(5.16-C11)*E11</f>
        <v>4.2187200000000002</v>
      </c>
      <c r="G11">
        <f t="shared" ref="G11:G18" si="7">+F11-1.53</f>
        <v>2.68872</v>
      </c>
      <c r="H11">
        <v>0.85709999999999997</v>
      </c>
      <c r="I11">
        <f t="shared" si="4"/>
        <v>3.1369968498424923</v>
      </c>
      <c r="K11">
        <v>0.21479999999999999</v>
      </c>
      <c r="N11">
        <v>1.700628401781297E-2</v>
      </c>
      <c r="O11">
        <f t="shared" si="5"/>
        <v>1.9841656770286979E-2</v>
      </c>
      <c r="P11">
        <v>2</v>
      </c>
      <c r="Q11">
        <v>3.25</v>
      </c>
      <c r="R11">
        <v>4.7E-2</v>
      </c>
      <c r="S11">
        <f t="shared" si="0"/>
        <v>203.125</v>
      </c>
      <c r="T11">
        <f t="shared" si="1"/>
        <v>2.7683</v>
      </c>
      <c r="U11">
        <f t="shared" si="2"/>
        <v>73.375356717118805</v>
      </c>
    </row>
    <row r="12" spans="1:21">
      <c r="A12">
        <v>3</v>
      </c>
      <c r="B12">
        <v>5.0199999999999996</v>
      </c>
      <c r="C12">
        <v>3.28</v>
      </c>
      <c r="D12">
        <v>96</v>
      </c>
      <c r="E12">
        <f t="shared" si="3"/>
        <v>2.3039999999999998</v>
      </c>
      <c r="F12">
        <f t="shared" si="6"/>
        <v>4.3315200000000003</v>
      </c>
      <c r="G12">
        <f t="shared" si="7"/>
        <v>2.80152</v>
      </c>
      <c r="H12">
        <v>0.81689999999999996</v>
      </c>
      <c r="I12">
        <f t="shared" si="4"/>
        <v>3.4294528094013956</v>
      </c>
      <c r="K12">
        <v>0.21540000000000001</v>
      </c>
      <c r="N12">
        <v>1.4997965116279063E-2</v>
      </c>
      <c r="O12">
        <f t="shared" si="5"/>
        <v>1.8359609641668582E-2</v>
      </c>
      <c r="P12">
        <v>3</v>
      </c>
      <c r="Q12">
        <v>2.5499999999999998</v>
      </c>
      <c r="R12">
        <v>3.4000000000000002E-2</v>
      </c>
      <c r="S12">
        <f t="shared" si="0"/>
        <v>159.375</v>
      </c>
      <c r="T12">
        <f t="shared" si="1"/>
        <v>2.0026000000000002</v>
      </c>
      <c r="U12">
        <f t="shared" si="2"/>
        <v>79.584040747028851</v>
      </c>
    </row>
    <row r="13" spans="1:21">
      <c r="A13">
        <v>4</v>
      </c>
      <c r="B13">
        <v>5.04</v>
      </c>
      <c r="C13">
        <v>3.36</v>
      </c>
      <c r="D13">
        <v>100</v>
      </c>
      <c r="E13">
        <f t="shared" si="3"/>
        <v>2.4</v>
      </c>
      <c r="F13">
        <f t="shared" si="6"/>
        <v>4.32</v>
      </c>
      <c r="G13">
        <f t="shared" si="7"/>
        <v>2.79</v>
      </c>
      <c r="H13">
        <v>0.81699999999999995</v>
      </c>
      <c r="I13">
        <f t="shared" si="4"/>
        <v>3.414932680538556</v>
      </c>
      <c r="K13">
        <v>0.21970000000000001</v>
      </c>
      <c r="N13">
        <v>4.461860465116263E-3</v>
      </c>
      <c r="O13">
        <f t="shared" si="5"/>
        <v>5.4612735191141536E-3</v>
      </c>
      <c r="P13">
        <v>4</v>
      </c>
      <c r="Q13">
        <v>2.0499999999999998</v>
      </c>
      <c r="R13">
        <v>1.6E-2</v>
      </c>
      <c r="S13">
        <f t="shared" si="0"/>
        <v>128.125</v>
      </c>
      <c r="T13">
        <f t="shared" si="1"/>
        <v>0.94240000000000002</v>
      </c>
      <c r="U13">
        <f t="shared" si="2"/>
        <v>135.95606960950764</v>
      </c>
    </row>
    <row r="14" spans="1:21">
      <c r="A14">
        <v>5</v>
      </c>
      <c r="B14">
        <v>5.4</v>
      </c>
      <c r="C14">
        <v>3.23</v>
      </c>
      <c r="D14">
        <v>140</v>
      </c>
      <c r="E14">
        <f t="shared" si="3"/>
        <v>3.36</v>
      </c>
      <c r="F14">
        <f t="shared" si="6"/>
        <v>6.4847999999999999</v>
      </c>
      <c r="G14">
        <f t="shared" si="7"/>
        <v>4.9547999999999996</v>
      </c>
      <c r="H14">
        <v>0.79830000000000001</v>
      </c>
      <c r="I14">
        <f t="shared" si="4"/>
        <v>6.206689214580984</v>
      </c>
      <c r="K14">
        <v>0.20180000000000001</v>
      </c>
      <c r="N14">
        <v>8.4601328903654398E-3</v>
      </c>
      <c r="O14">
        <f t="shared" si="5"/>
        <v>1.0597686196123562E-2</v>
      </c>
      <c r="P14">
        <v>5</v>
      </c>
      <c r="R14" t="s">
        <v>5</v>
      </c>
    </row>
    <row r="15" spans="1:21">
      <c r="A15">
        <v>6</v>
      </c>
      <c r="B15">
        <v>5.33</v>
      </c>
      <c r="C15">
        <v>3.33</v>
      </c>
      <c r="D15">
        <v>97</v>
      </c>
      <c r="E15">
        <f t="shared" si="3"/>
        <v>2.3279999999999998</v>
      </c>
      <c r="F15">
        <f t="shared" si="6"/>
        <v>4.2602399999999996</v>
      </c>
      <c r="G15">
        <f t="shared" si="7"/>
        <v>2.7302399999999993</v>
      </c>
      <c r="H15">
        <v>0.96840000000000004</v>
      </c>
      <c r="I15">
        <f t="shared" si="4"/>
        <v>2.8193308550185865</v>
      </c>
      <c r="K15">
        <v>0.23519999999999999</v>
      </c>
      <c r="N15">
        <v>4.8689211220330819E-2</v>
      </c>
      <c r="O15">
        <f t="shared" si="5"/>
        <v>5.0277995890469655E-2</v>
      </c>
      <c r="P15">
        <v>6</v>
      </c>
      <c r="R15" t="s">
        <v>5</v>
      </c>
    </row>
    <row r="16" spans="1:21">
      <c r="A16">
        <v>7</v>
      </c>
      <c r="C16">
        <v>3.75</v>
      </c>
      <c r="D16">
        <v>97</v>
      </c>
      <c r="E16">
        <f t="shared" si="3"/>
        <v>2.3279999999999998</v>
      </c>
      <c r="F16">
        <f t="shared" si="6"/>
        <v>3.2824800000000001</v>
      </c>
      <c r="G16">
        <f t="shared" si="7"/>
        <v>1.75248</v>
      </c>
      <c r="H16">
        <v>0.71779999999999999</v>
      </c>
      <c r="I16">
        <f t="shared" si="4"/>
        <v>2.4414600167177487</v>
      </c>
      <c r="K16">
        <v>0.1928</v>
      </c>
      <c r="N16">
        <v>-6.0890194198034413E-3</v>
      </c>
      <c r="O16">
        <v>0</v>
      </c>
      <c r="P16">
        <v>7</v>
      </c>
      <c r="R16" t="s">
        <v>5</v>
      </c>
    </row>
    <row r="17" spans="1:15">
      <c r="A17">
        <v>8</v>
      </c>
      <c r="B17">
        <f>+AVERAGE(B10:B15)</f>
        <v>5.166666666666667</v>
      </c>
      <c r="C17">
        <v>3.71</v>
      </c>
      <c r="D17">
        <v>105</v>
      </c>
      <c r="E17">
        <f t="shared" si="3"/>
        <v>2.52</v>
      </c>
      <c r="F17">
        <f t="shared" si="6"/>
        <v>3.6540000000000004</v>
      </c>
      <c r="G17">
        <f t="shared" si="7"/>
        <v>2.1240000000000006</v>
      </c>
      <c r="H17">
        <v>0.78790000000000004</v>
      </c>
      <c r="I17">
        <f t="shared" si="4"/>
        <v>2.6957735753268186</v>
      </c>
      <c r="K17">
        <v>0.20530000000000001</v>
      </c>
      <c r="N17">
        <v>-5.122591362126251E-3</v>
      </c>
      <c r="O17">
        <v>0</v>
      </c>
    </row>
    <row r="18" spans="1:15">
      <c r="A18">
        <v>9</v>
      </c>
      <c r="C18">
        <v>3.97</v>
      </c>
      <c r="D18">
        <v>97</v>
      </c>
      <c r="E18">
        <f t="shared" si="3"/>
        <v>2.3279999999999998</v>
      </c>
      <c r="F18">
        <f t="shared" si="6"/>
        <v>2.7703199999999999</v>
      </c>
      <c r="G18">
        <f t="shared" si="7"/>
        <v>1.2403199999999999</v>
      </c>
      <c r="H18">
        <v>0.78049999999999997</v>
      </c>
      <c r="I18">
        <f t="shared" si="4"/>
        <v>1.5891351697629723</v>
      </c>
      <c r="K18">
        <v>0.214</v>
      </c>
      <c r="N18">
        <v>5.4046271877247285E-3</v>
      </c>
      <c r="O18">
        <f t="shared" si="5"/>
        <v>6.9245703878599981E-3</v>
      </c>
    </row>
    <row r="19" spans="1:15">
      <c r="A19" t="s">
        <v>35</v>
      </c>
      <c r="C19">
        <v>4.4800000000000004</v>
      </c>
      <c r="D19">
        <v>94</v>
      </c>
      <c r="E19">
        <f t="shared" si="3"/>
        <v>2.2559999999999998</v>
      </c>
      <c r="F19">
        <f t="shared" si="6"/>
        <v>1.5340799999999992</v>
      </c>
    </row>
    <row r="21" spans="1:15">
      <c r="C21">
        <f t="shared" ref="C21:L21" si="8">+AVERAGE(C10:C19)</f>
        <v>3.6</v>
      </c>
      <c r="D21">
        <f t="shared" si="8"/>
        <v>102.8</v>
      </c>
      <c r="E21">
        <f t="shared" si="8"/>
        <v>2.4672000000000001</v>
      </c>
      <c r="F21">
        <f t="shared" si="8"/>
        <v>3.8899679999999996</v>
      </c>
      <c r="G21">
        <f t="shared" si="8"/>
        <v>2.6217333333333328</v>
      </c>
      <c r="H21">
        <f t="shared" si="8"/>
        <v>0.84687777777777784</v>
      </c>
      <c r="I21">
        <f t="shared" si="8"/>
        <v>3.1183802641251632</v>
      </c>
      <c r="J21" t="e">
        <f t="shared" si="8"/>
        <v>#DIV/0!</v>
      </c>
      <c r="K21">
        <f t="shared" si="8"/>
        <v>0.21918888888888891</v>
      </c>
      <c r="L21" t="e">
        <f t="shared" si="8"/>
        <v>#DIV/0!</v>
      </c>
      <c r="O21">
        <f>+AVERAGE(O10:O19)</f>
        <v>1.2804338409270814E-2</v>
      </c>
    </row>
    <row r="27" spans="1:15">
      <c r="A27" t="s">
        <v>36</v>
      </c>
    </row>
    <row r="28" spans="1:15">
      <c r="B28" t="s">
        <v>13</v>
      </c>
      <c r="D28" t="s">
        <v>14</v>
      </c>
      <c r="E28" t="s">
        <v>14</v>
      </c>
      <c r="F28" t="s">
        <v>15</v>
      </c>
      <c r="H28" t="s">
        <v>16</v>
      </c>
      <c r="I28" t="s">
        <v>10</v>
      </c>
      <c r="K28" t="s">
        <v>17</v>
      </c>
      <c r="L28" t="s">
        <v>10</v>
      </c>
      <c r="N28" t="s">
        <v>18</v>
      </c>
      <c r="O28" t="s">
        <v>19</v>
      </c>
    </row>
    <row r="29" spans="1:15">
      <c r="A29" t="s">
        <v>24</v>
      </c>
      <c r="B29" t="s">
        <v>25</v>
      </c>
      <c r="C29" t="s">
        <v>37</v>
      </c>
      <c r="D29" t="s">
        <v>27</v>
      </c>
      <c r="E29" t="s">
        <v>28</v>
      </c>
      <c r="F29" t="s">
        <v>29</v>
      </c>
      <c r="G29" t="s">
        <v>30</v>
      </c>
      <c r="H29" t="s">
        <v>31</v>
      </c>
      <c r="I29" t="s">
        <v>32</v>
      </c>
      <c r="K29" t="s">
        <v>31</v>
      </c>
      <c r="L29" t="s">
        <v>33</v>
      </c>
      <c r="O29" t="s">
        <v>34</v>
      </c>
    </row>
    <row r="30" spans="1:15">
      <c r="A30">
        <v>1</v>
      </c>
      <c r="B30">
        <v>5.13</v>
      </c>
      <c r="C30">
        <v>2.83</v>
      </c>
      <c r="D30">
        <v>108</v>
      </c>
      <c r="E30">
        <f t="shared" ref="E30:E39" si="9">+(((D30/50)*60)*20)/1000</f>
        <v>2.5920000000000005</v>
      </c>
      <c r="F30">
        <f>(5.14-C30)*E30</f>
        <v>5.98752</v>
      </c>
      <c r="G30">
        <f>+F30-1.73</f>
        <v>4.2575199999999995</v>
      </c>
      <c r="H30">
        <v>1.0780000000000001</v>
      </c>
      <c r="I30">
        <f t="shared" ref="I30:I38" si="10">+G30/H30</f>
        <v>3.9494619666048232</v>
      </c>
      <c r="N30">
        <v>8.5398765432098761E-2</v>
      </c>
      <c r="O30">
        <f t="shared" ref="O30:O38" si="11">(N30/H30)</f>
        <v>7.9219633981538737E-2</v>
      </c>
    </row>
    <row r="31" spans="1:15">
      <c r="A31">
        <v>2</v>
      </c>
      <c r="B31">
        <v>5.17</v>
      </c>
      <c r="C31">
        <v>3.03</v>
      </c>
      <c r="D31">
        <v>94</v>
      </c>
      <c r="E31">
        <f t="shared" si="9"/>
        <v>2.2559999999999998</v>
      </c>
      <c r="F31">
        <f t="shared" ref="F31:F39" si="12">(5.14-C31)*E31</f>
        <v>4.7601599999999991</v>
      </c>
      <c r="G31">
        <f t="shared" ref="G31:G38" si="13">+F31-1.73</f>
        <v>3.0301599999999991</v>
      </c>
      <c r="H31">
        <v>0.85709999999999997</v>
      </c>
      <c r="I31">
        <f t="shared" si="10"/>
        <v>3.5353634348384078</v>
      </c>
      <c r="N31">
        <v>6.7519858156028345E-2</v>
      </c>
      <c r="O31">
        <f t="shared" si="11"/>
        <v>7.8777106704034941E-2</v>
      </c>
    </row>
    <row r="32" spans="1:15">
      <c r="A32">
        <v>3</v>
      </c>
      <c r="B32">
        <v>5.13</v>
      </c>
      <c r="C32">
        <v>3.29</v>
      </c>
      <c r="D32">
        <v>96</v>
      </c>
      <c r="E32">
        <f t="shared" si="9"/>
        <v>2.3039999999999998</v>
      </c>
      <c r="F32">
        <f t="shared" si="12"/>
        <v>4.2623999999999986</v>
      </c>
      <c r="G32">
        <f t="shared" si="13"/>
        <v>2.5323999999999987</v>
      </c>
      <c r="H32">
        <v>0.81689999999999996</v>
      </c>
      <c r="I32">
        <f t="shared" si="10"/>
        <v>3.1000122414004148</v>
      </c>
      <c r="N32">
        <v>1.6543055555555554E-2</v>
      </c>
      <c r="O32">
        <f t="shared" si="11"/>
        <v>2.0251016716312346E-2</v>
      </c>
    </row>
    <row r="33" spans="1:15">
      <c r="A33">
        <v>4</v>
      </c>
      <c r="B33">
        <v>5.09</v>
      </c>
      <c r="C33">
        <v>3.86</v>
      </c>
      <c r="D33">
        <v>100</v>
      </c>
      <c r="E33">
        <f t="shared" si="9"/>
        <v>2.4</v>
      </c>
      <c r="F33">
        <f t="shared" si="12"/>
        <v>3.0719999999999996</v>
      </c>
      <c r="G33">
        <f t="shared" si="13"/>
        <v>1.3419999999999996</v>
      </c>
      <c r="H33">
        <v>0.81699999999999995</v>
      </c>
      <c r="I33">
        <f t="shared" si="10"/>
        <v>1.6425948592411257</v>
      </c>
      <c r="N33">
        <v>7.0079999999999976E-2</v>
      </c>
      <c r="O33">
        <f t="shared" si="11"/>
        <v>8.5777233782129716E-2</v>
      </c>
    </row>
    <row r="34" spans="1:15">
      <c r="A34">
        <v>5</v>
      </c>
      <c r="B34">
        <v>5.12</v>
      </c>
      <c r="C34">
        <v>3.5</v>
      </c>
      <c r="D34">
        <v>140</v>
      </c>
      <c r="E34">
        <f t="shared" si="9"/>
        <v>3.36</v>
      </c>
      <c r="F34">
        <f t="shared" si="12"/>
        <v>5.5103999999999989</v>
      </c>
      <c r="G34">
        <f t="shared" si="13"/>
        <v>3.7803999999999989</v>
      </c>
      <c r="H34">
        <v>0.79830000000000001</v>
      </c>
      <c r="I34">
        <f t="shared" si="10"/>
        <v>4.7355630715269932</v>
      </c>
      <c r="N34">
        <v>8.3047619047618929E-3</v>
      </c>
      <c r="O34">
        <f t="shared" si="11"/>
        <v>1.040305888107465E-2</v>
      </c>
    </row>
    <row r="35" spans="1:15">
      <c r="A35">
        <v>6</v>
      </c>
      <c r="B35">
        <v>5.17</v>
      </c>
      <c r="C35">
        <v>3.94</v>
      </c>
      <c r="D35">
        <v>97</v>
      </c>
      <c r="E35">
        <f t="shared" si="9"/>
        <v>2.3279999999999998</v>
      </c>
      <c r="F35">
        <f t="shared" si="12"/>
        <v>2.7935999999999992</v>
      </c>
      <c r="G35">
        <f t="shared" si="13"/>
        <v>1.0635999999999992</v>
      </c>
      <c r="H35">
        <v>0.96840000000000004</v>
      </c>
      <c r="I35">
        <f t="shared" si="10"/>
        <v>1.0983064849235844</v>
      </c>
      <c r="N35">
        <v>6.1011340206185545E-2</v>
      </c>
      <c r="O35">
        <f t="shared" si="11"/>
        <v>6.3002210043562101E-2</v>
      </c>
    </row>
    <row r="36" spans="1:15">
      <c r="A36">
        <v>7</v>
      </c>
      <c r="C36">
        <v>3.95</v>
      </c>
      <c r="D36">
        <v>97</v>
      </c>
      <c r="E36">
        <f t="shared" si="9"/>
        <v>2.3279999999999998</v>
      </c>
      <c r="F36">
        <f t="shared" si="12"/>
        <v>2.7703199999999986</v>
      </c>
      <c r="G36">
        <f t="shared" si="13"/>
        <v>1.0403199999999986</v>
      </c>
      <c r="H36">
        <v>0.71779999999999999</v>
      </c>
      <c r="I36">
        <f t="shared" si="10"/>
        <v>1.4493173585957071</v>
      </c>
      <c r="N36">
        <v>1.6145360824742255E-2</v>
      </c>
      <c r="O36">
        <f t="shared" si="11"/>
        <v>2.2492840379969705E-2</v>
      </c>
    </row>
    <row r="37" spans="1:15">
      <c r="A37">
        <v>8</v>
      </c>
      <c r="B37">
        <f>+AVERAGE(B30:B35)</f>
        <v>5.1350000000000007</v>
      </c>
      <c r="C37">
        <v>3.75</v>
      </c>
      <c r="D37">
        <v>105</v>
      </c>
      <c r="E37">
        <f t="shared" si="9"/>
        <v>2.52</v>
      </c>
      <c r="F37">
        <f t="shared" si="12"/>
        <v>3.5027999999999992</v>
      </c>
      <c r="G37">
        <f t="shared" si="13"/>
        <v>1.7727999999999993</v>
      </c>
      <c r="H37">
        <v>0.78790000000000004</v>
      </c>
      <c r="I37">
        <f t="shared" si="10"/>
        <v>2.2500317299149626</v>
      </c>
      <c r="N37">
        <v>8.3793650793650525E-3</v>
      </c>
      <c r="O37">
        <f t="shared" si="11"/>
        <v>1.0635061656764883E-2</v>
      </c>
    </row>
    <row r="38" spans="1:15">
      <c r="A38">
        <v>9</v>
      </c>
      <c r="C38">
        <v>4.1399999999999997</v>
      </c>
      <c r="D38">
        <v>97</v>
      </c>
      <c r="E38">
        <f t="shared" si="9"/>
        <v>2.3279999999999998</v>
      </c>
      <c r="F38">
        <f t="shared" si="12"/>
        <v>2.3279999999999998</v>
      </c>
      <c r="G38">
        <f t="shared" si="13"/>
        <v>0.59799999999999986</v>
      </c>
      <c r="H38">
        <v>0.78049999999999997</v>
      </c>
      <c r="I38">
        <f t="shared" si="10"/>
        <v>0.76617552850736692</v>
      </c>
      <c r="N38">
        <v>8.3951890034362348E-4</v>
      </c>
      <c r="O38">
        <f t="shared" si="11"/>
        <v>1.0756167845530089E-3</v>
      </c>
    </row>
    <row r="39" spans="1:15">
      <c r="A39" t="s">
        <v>35</v>
      </c>
      <c r="C39">
        <v>4.37</v>
      </c>
      <c r="D39">
        <v>94</v>
      </c>
      <c r="E39">
        <f t="shared" si="9"/>
        <v>2.2559999999999998</v>
      </c>
      <c r="F39">
        <f t="shared" si="12"/>
        <v>1.7371199999999989</v>
      </c>
    </row>
    <row r="41" spans="1:15">
      <c r="C41">
        <f t="shared" ref="C41:L41" si="14">+AVERAGE(C30:C39)</f>
        <v>3.6659999999999995</v>
      </c>
      <c r="D41">
        <f t="shared" si="14"/>
        <v>102.8</v>
      </c>
      <c r="E41">
        <f t="shared" si="14"/>
        <v>2.4672000000000001</v>
      </c>
      <c r="F41">
        <f t="shared" si="14"/>
        <v>3.6724319999999993</v>
      </c>
      <c r="G41">
        <f t="shared" si="14"/>
        <v>2.1574666666666658</v>
      </c>
      <c r="H41">
        <f t="shared" si="14"/>
        <v>0.84687777777777784</v>
      </c>
      <c r="I41">
        <f t="shared" si="14"/>
        <v>2.5029807417281535</v>
      </c>
      <c r="J41" t="e">
        <f t="shared" si="14"/>
        <v>#DIV/0!</v>
      </c>
      <c r="K41" t="e">
        <f t="shared" si="14"/>
        <v>#DIV/0!</v>
      </c>
      <c r="L41" t="e">
        <f t="shared" si="14"/>
        <v>#DIV/0!</v>
      </c>
      <c r="O41">
        <f>+AVERAGE(O30:O39)</f>
        <v>4.1292642103326678E-2</v>
      </c>
    </row>
    <row r="46" spans="1:15">
      <c r="A46" t="s">
        <v>38</v>
      </c>
      <c r="C46" t="s">
        <v>39</v>
      </c>
    </row>
    <row r="47" spans="1:15">
      <c r="B47" t="s">
        <v>13</v>
      </c>
      <c r="D47" t="s">
        <v>14</v>
      </c>
      <c r="E47" t="s">
        <v>14</v>
      </c>
      <c r="F47" t="s">
        <v>15</v>
      </c>
      <c r="H47" t="s">
        <v>16</v>
      </c>
      <c r="I47" t="s">
        <v>10</v>
      </c>
      <c r="K47" t="s">
        <v>17</v>
      </c>
      <c r="L47" t="s">
        <v>10</v>
      </c>
      <c r="N47" t="s">
        <v>18</v>
      </c>
      <c r="O47" t="s">
        <v>19</v>
      </c>
    </row>
    <row r="48" spans="1:15">
      <c r="A48" t="s">
        <v>24</v>
      </c>
      <c r="B48" t="s">
        <v>25</v>
      </c>
      <c r="C48" t="s">
        <v>37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K48" t="s">
        <v>31</v>
      </c>
      <c r="L48" t="s">
        <v>33</v>
      </c>
      <c r="O48" t="s">
        <v>34</v>
      </c>
    </row>
    <row r="49" spans="1:15">
      <c r="A49">
        <v>1</v>
      </c>
      <c r="B49">
        <v>5.16</v>
      </c>
      <c r="C49">
        <v>2.93</v>
      </c>
      <c r="D49">
        <v>108</v>
      </c>
      <c r="E49">
        <f t="shared" ref="E49:E58" si="15">+(((D49/50)*60)*20)/1000</f>
        <v>2.5920000000000005</v>
      </c>
      <c r="F49">
        <f>(5.23-C49)*E49</f>
        <v>5.9616000000000016</v>
      </c>
      <c r="G49">
        <f>+F49-1.87</f>
        <v>4.0916000000000015</v>
      </c>
      <c r="H49">
        <v>1.0780000000000001</v>
      </c>
      <c r="I49">
        <f t="shared" ref="I49:I57" si="16">+G49/H49</f>
        <v>3.795547309833025</v>
      </c>
      <c r="N49">
        <v>3.1880952380952385E-2</v>
      </c>
      <c r="O49">
        <f t="shared" ref="O49:O57" si="17">(N49/H49)</f>
        <v>2.9574167329269371E-2</v>
      </c>
    </row>
    <row r="50" spans="1:15">
      <c r="A50">
        <v>2</v>
      </c>
      <c r="B50">
        <v>5.25</v>
      </c>
      <c r="C50">
        <v>2.95</v>
      </c>
      <c r="D50">
        <v>94</v>
      </c>
      <c r="E50">
        <f t="shared" si="15"/>
        <v>2.2559999999999998</v>
      </c>
      <c r="F50">
        <f t="shared" ref="F50:F58" si="18">(5.23-C50)*E50</f>
        <v>5.1436799999999998</v>
      </c>
      <c r="G50">
        <f t="shared" ref="G50:G57" si="19">+F50-1.87</f>
        <v>3.2736799999999997</v>
      </c>
      <c r="H50">
        <v>0.85709999999999997</v>
      </c>
      <c r="I50">
        <f t="shared" si="16"/>
        <v>3.8194843075487106</v>
      </c>
      <c r="N50">
        <v>7.6667035092567032E-2</v>
      </c>
      <c r="O50">
        <f t="shared" si="17"/>
        <v>8.9449346741998642E-2</v>
      </c>
    </row>
    <row r="51" spans="1:15">
      <c r="A51">
        <v>3</v>
      </c>
      <c r="B51">
        <v>5.13</v>
      </c>
      <c r="C51">
        <v>3.75</v>
      </c>
      <c r="D51">
        <v>96</v>
      </c>
      <c r="E51">
        <f t="shared" si="15"/>
        <v>2.3039999999999998</v>
      </c>
      <c r="F51">
        <f t="shared" si="18"/>
        <v>3.4099200000000005</v>
      </c>
      <c r="G51">
        <f t="shared" si="19"/>
        <v>1.5399200000000004</v>
      </c>
      <c r="H51">
        <v>0.81689999999999996</v>
      </c>
      <c r="I51">
        <f t="shared" si="16"/>
        <v>1.8850777328926436</v>
      </c>
      <c r="N51">
        <v>5.3694399350649361E-2</v>
      </c>
      <c r="O51">
        <f t="shared" si="17"/>
        <v>6.5729464255905701E-2</v>
      </c>
    </row>
    <row r="52" spans="1:15">
      <c r="A52">
        <v>4</v>
      </c>
      <c r="B52">
        <v>5.25</v>
      </c>
      <c r="C52">
        <v>3.72</v>
      </c>
      <c r="D52">
        <v>100</v>
      </c>
      <c r="E52">
        <f t="shared" si="15"/>
        <v>2.4</v>
      </c>
      <c r="F52">
        <f t="shared" si="18"/>
        <v>3.6240000000000006</v>
      </c>
      <c r="G52">
        <f t="shared" si="19"/>
        <v>1.7540000000000004</v>
      </c>
      <c r="H52">
        <v>0.81699999999999995</v>
      </c>
      <c r="I52">
        <f t="shared" si="16"/>
        <v>2.1468788249694009</v>
      </c>
      <c r="N52">
        <v>1.1400000000000011E-2</v>
      </c>
      <c r="O52">
        <f t="shared" si="17"/>
        <v>1.3953488372093037E-2</v>
      </c>
    </row>
    <row r="53" spans="1:15">
      <c r="A53">
        <v>5</v>
      </c>
      <c r="B53">
        <v>5.34</v>
      </c>
      <c r="C53">
        <v>3.5</v>
      </c>
      <c r="D53">
        <v>140</v>
      </c>
      <c r="E53">
        <f t="shared" si="15"/>
        <v>3.36</v>
      </c>
      <c r="F53">
        <f t="shared" si="18"/>
        <v>5.8128000000000011</v>
      </c>
      <c r="G53">
        <f t="shared" si="19"/>
        <v>3.942800000000001</v>
      </c>
      <c r="H53">
        <v>0.79830000000000001</v>
      </c>
      <c r="I53">
        <f t="shared" si="16"/>
        <v>4.9389953651509471</v>
      </c>
      <c r="N53">
        <v>2.7452226345083486E-2</v>
      </c>
      <c r="O53">
        <f t="shared" si="17"/>
        <v>3.438835819251345E-2</v>
      </c>
    </row>
    <row r="54" spans="1:15">
      <c r="A54">
        <v>6</v>
      </c>
      <c r="B54">
        <v>5.25</v>
      </c>
      <c r="C54">
        <v>3.63</v>
      </c>
      <c r="D54">
        <v>97</v>
      </c>
      <c r="E54">
        <f t="shared" si="15"/>
        <v>2.3279999999999998</v>
      </c>
      <c r="F54">
        <f t="shared" si="18"/>
        <v>3.724800000000001</v>
      </c>
      <c r="G54">
        <f t="shared" si="19"/>
        <v>1.8548000000000009</v>
      </c>
      <c r="H54">
        <v>0.96840000000000004</v>
      </c>
      <c r="I54">
        <f t="shared" si="16"/>
        <v>1.9153242461792657</v>
      </c>
      <c r="N54">
        <v>6.2996786718436212E-2</v>
      </c>
      <c r="O54">
        <f t="shared" si="17"/>
        <v>6.505244394716668E-2</v>
      </c>
    </row>
    <row r="55" spans="1:15">
      <c r="A55">
        <v>7</v>
      </c>
      <c r="C55">
        <v>4.13</v>
      </c>
      <c r="D55">
        <v>97</v>
      </c>
      <c r="E55">
        <f t="shared" si="15"/>
        <v>2.3279999999999998</v>
      </c>
      <c r="F55">
        <f t="shared" si="18"/>
        <v>2.5608000000000009</v>
      </c>
      <c r="G55">
        <f t="shared" si="19"/>
        <v>0.69080000000000075</v>
      </c>
      <c r="H55">
        <v>0.71779999999999999</v>
      </c>
      <c r="I55">
        <f t="shared" si="16"/>
        <v>0.96238506547785008</v>
      </c>
      <c r="N55">
        <v>2.6124380773865304E-2</v>
      </c>
      <c r="O55">
        <f t="shared" si="17"/>
        <v>3.6395069342247566E-2</v>
      </c>
    </row>
    <row r="56" spans="1:15">
      <c r="A56">
        <v>8</v>
      </c>
      <c r="B56">
        <f>+AVERAGE(B49:B54)</f>
        <v>5.2299999999999995</v>
      </c>
      <c r="C56">
        <v>3.58</v>
      </c>
      <c r="D56">
        <v>105</v>
      </c>
      <c r="E56">
        <f t="shared" si="15"/>
        <v>2.52</v>
      </c>
      <c r="F56">
        <f t="shared" si="18"/>
        <v>4.1580000000000013</v>
      </c>
      <c r="G56">
        <f t="shared" si="19"/>
        <v>2.2880000000000011</v>
      </c>
      <c r="H56">
        <v>0.78790000000000004</v>
      </c>
      <c r="I56">
        <f t="shared" si="16"/>
        <v>2.9039218174895303</v>
      </c>
      <c r="N56">
        <v>2.6198515769944336E-2</v>
      </c>
      <c r="O56">
        <f t="shared" si="17"/>
        <v>3.3251067102353517E-2</v>
      </c>
    </row>
    <row r="57" spans="1:15">
      <c r="A57">
        <v>9</v>
      </c>
      <c r="C57">
        <v>4.04</v>
      </c>
      <c r="D57">
        <v>97</v>
      </c>
      <c r="E57">
        <f t="shared" si="15"/>
        <v>2.3279999999999998</v>
      </c>
      <c r="F57">
        <f t="shared" si="18"/>
        <v>2.7703200000000008</v>
      </c>
      <c r="G57">
        <f t="shared" si="19"/>
        <v>0.90032000000000068</v>
      </c>
      <c r="H57">
        <v>0.78049999999999997</v>
      </c>
      <c r="I57">
        <f t="shared" si="16"/>
        <v>1.1535169762972464</v>
      </c>
      <c r="N57">
        <v>4.5994510643995193E-2</v>
      </c>
      <c r="O57">
        <f t="shared" si="17"/>
        <v>5.892954598846277E-2</v>
      </c>
    </row>
    <row r="58" spans="1:15">
      <c r="A58" t="s">
        <v>35</v>
      </c>
      <c r="C58">
        <v>4.4000000000000004</v>
      </c>
      <c r="D58">
        <v>94</v>
      </c>
      <c r="E58">
        <f t="shared" si="15"/>
        <v>2.2559999999999998</v>
      </c>
      <c r="F58">
        <f t="shared" si="18"/>
        <v>1.8724799999999999</v>
      </c>
    </row>
    <row r="60" spans="1:15">
      <c r="C60">
        <f t="shared" ref="C60:L60" si="20">+AVERAGE(C49:C58)</f>
        <v>3.6629999999999994</v>
      </c>
      <c r="D60">
        <f t="shared" si="20"/>
        <v>102.8</v>
      </c>
      <c r="E60">
        <f t="shared" si="20"/>
        <v>2.4672000000000001</v>
      </c>
      <c r="F60">
        <f t="shared" si="20"/>
        <v>3.9038400000000011</v>
      </c>
      <c r="G60">
        <f t="shared" si="20"/>
        <v>2.259546666666667</v>
      </c>
      <c r="H60">
        <f t="shared" si="20"/>
        <v>0.84687777777777784</v>
      </c>
      <c r="I60">
        <f t="shared" si="20"/>
        <v>2.6134590717598467</v>
      </c>
      <c r="J60" t="e">
        <f t="shared" si="20"/>
        <v>#DIV/0!</v>
      </c>
      <c r="K60" t="e">
        <f t="shared" si="20"/>
        <v>#DIV/0!</v>
      </c>
      <c r="L60" t="e">
        <f t="shared" si="20"/>
        <v>#DIV/0!</v>
      </c>
      <c r="O60">
        <f>+AVERAGE(O49:O58)</f>
        <v>4.7413661252445644E-2</v>
      </c>
    </row>
    <row r="65" spans="1:15">
      <c r="A65" t="s">
        <v>40</v>
      </c>
      <c r="C65" t="s">
        <v>41</v>
      </c>
    </row>
    <row r="66" spans="1:15">
      <c r="B66" t="s">
        <v>13</v>
      </c>
      <c r="D66" t="s">
        <v>14</v>
      </c>
      <c r="E66" t="s">
        <v>14</v>
      </c>
      <c r="F66" t="s">
        <v>15</v>
      </c>
      <c r="H66" t="s">
        <v>16</v>
      </c>
      <c r="I66" t="s">
        <v>10</v>
      </c>
      <c r="K66" t="s">
        <v>17</v>
      </c>
      <c r="L66" t="s">
        <v>10</v>
      </c>
      <c r="N66" t="s">
        <v>18</v>
      </c>
      <c r="O66" t="s">
        <v>19</v>
      </c>
    </row>
    <row r="67" spans="1:15">
      <c r="A67" t="s">
        <v>24</v>
      </c>
      <c r="B67" t="s">
        <v>25</v>
      </c>
      <c r="C67" t="s">
        <v>37</v>
      </c>
      <c r="D67" t="s">
        <v>27</v>
      </c>
      <c r="E67" t="s">
        <v>28</v>
      </c>
      <c r="F67" t="s">
        <v>29</v>
      </c>
      <c r="G67" t="s">
        <v>30</v>
      </c>
      <c r="H67" t="s">
        <v>31</v>
      </c>
      <c r="I67" t="s">
        <v>32</v>
      </c>
      <c r="K67" t="s">
        <v>31</v>
      </c>
      <c r="L67" t="s">
        <v>33</v>
      </c>
      <c r="O67" t="s">
        <v>34</v>
      </c>
    </row>
    <row r="68" spans="1:15">
      <c r="A68">
        <v>1</v>
      </c>
      <c r="B68">
        <v>5.19</v>
      </c>
      <c r="C68">
        <v>3.08</v>
      </c>
      <c r="D68">
        <v>108</v>
      </c>
      <c r="E68">
        <f t="shared" ref="E68:E77" si="21">+(((D68/50)*60)*20)/1000</f>
        <v>2.5920000000000005</v>
      </c>
      <c r="F68">
        <f>(5.22-C68)*E68</f>
        <v>5.5468800000000007</v>
      </c>
      <c r="G68">
        <f>+F68-1.96</f>
        <v>3.5868800000000007</v>
      </c>
      <c r="H68">
        <v>1.0780000000000001</v>
      </c>
      <c r="I68">
        <f t="shared" ref="I68:I76" si="22">+G68/H68</f>
        <v>3.3273469387755106</v>
      </c>
      <c r="N68">
        <v>2.7244588744588745E-2</v>
      </c>
      <c r="O68">
        <f t="shared" ref="O68:O76" si="23">(N68/H68)</f>
        <v>2.5273273417985846E-2</v>
      </c>
    </row>
    <row r="69" spans="1:15">
      <c r="A69">
        <v>2</v>
      </c>
      <c r="B69">
        <v>5.2</v>
      </c>
      <c r="C69">
        <v>2.96</v>
      </c>
      <c r="D69">
        <v>94</v>
      </c>
      <c r="E69">
        <f t="shared" si="21"/>
        <v>2.2559999999999998</v>
      </c>
      <c r="F69">
        <f t="shared" ref="F69:F77" si="24">(5.22-C69)*E69</f>
        <v>5.0985599999999991</v>
      </c>
      <c r="G69">
        <f t="shared" ref="G69:G76" si="25">+F69-1.96</f>
        <v>3.1385599999999991</v>
      </c>
      <c r="H69">
        <v>0.85709999999999997</v>
      </c>
      <c r="I69">
        <f t="shared" si="22"/>
        <v>3.6618364251545903</v>
      </c>
      <c r="N69">
        <v>8.4224924012158059E-2</v>
      </c>
      <c r="O69">
        <f t="shared" si="23"/>
        <v>9.8267324713753421E-2</v>
      </c>
    </row>
    <row r="70" spans="1:15">
      <c r="A70">
        <v>3</v>
      </c>
      <c r="B70">
        <v>5.0999999999999996</v>
      </c>
      <c r="C70">
        <v>3.18</v>
      </c>
      <c r="D70">
        <v>96</v>
      </c>
      <c r="E70">
        <f t="shared" si="21"/>
        <v>2.3039999999999998</v>
      </c>
      <c r="F70">
        <f t="shared" si="24"/>
        <v>4.7001599999999986</v>
      </c>
      <c r="G70">
        <f t="shared" si="25"/>
        <v>2.7401599999999986</v>
      </c>
      <c r="H70">
        <v>0.81689999999999996</v>
      </c>
      <c r="I70">
        <f t="shared" si="22"/>
        <v>3.3543395764475439</v>
      </c>
      <c r="N70">
        <v>4.1226055194805197E-2</v>
      </c>
      <c r="O70">
        <f t="shared" si="23"/>
        <v>5.0466464922028643E-2</v>
      </c>
    </row>
    <row r="71" spans="1:15">
      <c r="A71">
        <v>4</v>
      </c>
      <c r="B71">
        <v>5.23</v>
      </c>
      <c r="C71">
        <v>3.62</v>
      </c>
      <c r="D71">
        <v>100</v>
      </c>
      <c r="E71">
        <f t="shared" si="21"/>
        <v>2.4</v>
      </c>
      <c r="F71">
        <f t="shared" si="24"/>
        <v>3.839999999999999</v>
      </c>
      <c r="G71">
        <f t="shared" si="25"/>
        <v>1.879999999999999</v>
      </c>
      <c r="H71">
        <v>0.81699999999999995</v>
      </c>
      <c r="I71">
        <f t="shared" si="22"/>
        <v>2.3011015911872694</v>
      </c>
      <c r="N71">
        <v>0</v>
      </c>
      <c r="O71">
        <f t="shared" si="23"/>
        <v>0</v>
      </c>
    </row>
    <row r="72" spans="1:15">
      <c r="A72">
        <v>5</v>
      </c>
      <c r="B72">
        <v>5.28</v>
      </c>
      <c r="C72">
        <v>3.42</v>
      </c>
      <c r="D72">
        <v>140</v>
      </c>
      <c r="E72">
        <f t="shared" si="21"/>
        <v>3.36</v>
      </c>
      <c r="F72">
        <f t="shared" si="24"/>
        <v>6.0479999999999992</v>
      </c>
      <c r="G72">
        <f t="shared" si="25"/>
        <v>4.0879999999999992</v>
      </c>
      <c r="H72">
        <v>0.79830000000000001</v>
      </c>
      <c r="I72">
        <f t="shared" si="22"/>
        <v>5.1208818739822108</v>
      </c>
      <c r="N72">
        <v>2.1548608534322812E-2</v>
      </c>
      <c r="O72">
        <f t="shared" si="23"/>
        <v>2.6993121050135051E-2</v>
      </c>
    </row>
    <row r="73" spans="1:15">
      <c r="A73">
        <v>6</v>
      </c>
      <c r="B73">
        <v>5.31</v>
      </c>
      <c r="C73">
        <v>3.9</v>
      </c>
      <c r="D73">
        <v>97</v>
      </c>
      <c r="E73">
        <f t="shared" si="21"/>
        <v>2.3279999999999998</v>
      </c>
      <c r="F73">
        <f t="shared" si="24"/>
        <v>3.0729599999999992</v>
      </c>
      <c r="G73">
        <f t="shared" si="25"/>
        <v>1.1129599999999993</v>
      </c>
      <c r="H73">
        <v>0.96840000000000004</v>
      </c>
      <c r="I73">
        <f t="shared" si="22"/>
        <v>1.1492771581990906</v>
      </c>
      <c r="N73">
        <v>6.4894497255321981E-2</v>
      </c>
      <c r="O73">
        <f t="shared" si="23"/>
        <v>6.7012078950146617E-2</v>
      </c>
    </row>
    <row r="74" spans="1:15">
      <c r="A74">
        <v>7</v>
      </c>
      <c r="B74" t="s">
        <v>5</v>
      </c>
      <c r="C74">
        <v>3.88</v>
      </c>
      <c r="D74">
        <v>97</v>
      </c>
      <c r="E74">
        <f t="shared" si="21"/>
        <v>2.3279999999999998</v>
      </c>
      <c r="F74">
        <f t="shared" si="24"/>
        <v>3.1195199999999996</v>
      </c>
      <c r="G74">
        <f t="shared" si="25"/>
        <v>1.1595199999999997</v>
      </c>
      <c r="H74">
        <v>0.71779999999999999</v>
      </c>
      <c r="I74">
        <f t="shared" si="22"/>
        <v>1.6153803287823902</v>
      </c>
      <c r="N74">
        <v>1.7267639576917924E-2</v>
      </c>
      <c r="O74">
        <f t="shared" si="23"/>
        <v>2.4056338223624862E-2</v>
      </c>
    </row>
    <row r="75" spans="1:15">
      <c r="A75">
        <v>8</v>
      </c>
      <c r="B75">
        <f>+AVERAGE(B68:B73)</f>
        <v>5.2183333333333328</v>
      </c>
      <c r="C75">
        <v>3.63</v>
      </c>
      <c r="D75">
        <v>105</v>
      </c>
      <c r="E75">
        <f t="shared" si="21"/>
        <v>2.52</v>
      </c>
      <c r="F75">
        <f t="shared" si="24"/>
        <v>4.0067999999999993</v>
      </c>
      <c r="G75">
        <f t="shared" si="25"/>
        <v>2.0467999999999993</v>
      </c>
      <c r="H75">
        <v>0.78790000000000004</v>
      </c>
      <c r="I75">
        <f t="shared" si="22"/>
        <v>2.5977915979185164</v>
      </c>
      <c r="N75">
        <v>0</v>
      </c>
      <c r="O75">
        <f t="shared" si="23"/>
        <v>0</v>
      </c>
    </row>
    <row r="76" spans="1:15">
      <c r="A76">
        <v>9</v>
      </c>
      <c r="C76">
        <v>3.89</v>
      </c>
      <c r="D76">
        <v>97</v>
      </c>
      <c r="E76">
        <f t="shared" si="21"/>
        <v>2.3279999999999998</v>
      </c>
      <c r="F76">
        <f t="shared" si="24"/>
        <v>3.096239999999999</v>
      </c>
      <c r="G76">
        <f t="shared" si="25"/>
        <v>1.136239999999999</v>
      </c>
      <c r="H76">
        <v>0.78049999999999997</v>
      </c>
      <c r="I76">
        <f t="shared" si="22"/>
        <v>1.4557847533632275</v>
      </c>
      <c r="N76">
        <v>1.0917391886464043E-2</v>
      </c>
      <c r="O76">
        <f t="shared" si="23"/>
        <v>1.3987689796878979E-2</v>
      </c>
    </row>
    <row r="77" spans="1:15">
      <c r="A77" t="s">
        <v>35</v>
      </c>
      <c r="C77">
        <v>4.32</v>
      </c>
      <c r="D77">
        <v>94</v>
      </c>
      <c r="E77">
        <f t="shared" si="21"/>
        <v>2.2559999999999998</v>
      </c>
      <c r="F77">
        <f t="shared" si="24"/>
        <v>2.0303999999999984</v>
      </c>
      <c r="G77" t="s">
        <v>5</v>
      </c>
    </row>
    <row r="79" spans="1:15">
      <c r="C79">
        <f t="shared" ref="C79:L79" si="26">+AVERAGE(C68:C77)</f>
        <v>3.5879999999999996</v>
      </c>
      <c r="D79">
        <f t="shared" si="26"/>
        <v>102.8</v>
      </c>
      <c r="E79">
        <f t="shared" si="26"/>
        <v>2.4672000000000001</v>
      </c>
      <c r="F79">
        <f t="shared" si="26"/>
        <v>4.0559519999999996</v>
      </c>
      <c r="G79">
        <f t="shared" si="26"/>
        <v>2.3210133333333332</v>
      </c>
      <c r="H79">
        <f t="shared" si="26"/>
        <v>0.84687777777777784</v>
      </c>
      <c r="I79">
        <f t="shared" si="26"/>
        <v>2.7315266937567055</v>
      </c>
      <c r="J79" t="e">
        <f t="shared" si="26"/>
        <v>#DIV/0!</v>
      </c>
      <c r="K79" t="e">
        <f t="shared" si="26"/>
        <v>#DIV/0!</v>
      </c>
      <c r="L79" t="e">
        <f t="shared" si="26"/>
        <v>#DIV/0!</v>
      </c>
      <c r="O79">
        <f>+AVERAGE(O68:O77)</f>
        <v>3.4006254563839267E-2</v>
      </c>
    </row>
    <row r="86" spans="1:15">
      <c r="A86" t="s">
        <v>42</v>
      </c>
      <c r="C86" t="s">
        <v>43</v>
      </c>
    </row>
    <row r="87" spans="1:15">
      <c r="B87" t="s">
        <v>13</v>
      </c>
      <c r="D87" t="s">
        <v>14</v>
      </c>
      <c r="E87" t="s">
        <v>14</v>
      </c>
      <c r="F87" t="s">
        <v>15</v>
      </c>
      <c r="H87" t="s">
        <v>16</v>
      </c>
      <c r="I87" t="s">
        <v>10</v>
      </c>
      <c r="K87" t="s">
        <v>17</v>
      </c>
      <c r="L87" t="s">
        <v>10</v>
      </c>
      <c r="N87" t="s">
        <v>18</v>
      </c>
      <c r="O87" t="s">
        <v>19</v>
      </c>
    </row>
    <row r="88" spans="1:15">
      <c r="A88" t="s">
        <v>24</v>
      </c>
      <c r="B88" t="s">
        <v>25</v>
      </c>
      <c r="C88" t="s">
        <v>37</v>
      </c>
      <c r="D88" t="s">
        <v>27</v>
      </c>
      <c r="E88" t="s">
        <v>28</v>
      </c>
      <c r="F88" t="s">
        <v>29</v>
      </c>
      <c r="G88" t="s">
        <v>30</v>
      </c>
      <c r="H88" t="s">
        <v>31</v>
      </c>
      <c r="I88" t="s">
        <v>32</v>
      </c>
      <c r="K88" t="s">
        <v>31</v>
      </c>
      <c r="L88" t="s">
        <v>33</v>
      </c>
      <c r="O88" t="s">
        <v>34</v>
      </c>
    </row>
    <row r="89" spans="1:15">
      <c r="A89">
        <v>1</v>
      </c>
      <c r="B89">
        <v>5.21</v>
      </c>
      <c r="C89">
        <v>3.34</v>
      </c>
      <c r="D89">
        <v>108</v>
      </c>
      <c r="E89">
        <f t="shared" ref="E89:E98" si="27">+(((D89/50)*60)*20)/1000</f>
        <v>2.5920000000000005</v>
      </c>
      <c r="F89">
        <f>(5.25-C89)*E89</f>
        <v>4.9507200000000013</v>
      </c>
      <c r="G89">
        <f>+F89-1.89</f>
        <v>3.0607200000000017</v>
      </c>
      <c r="H89">
        <v>1.0780000000000001</v>
      </c>
      <c r="I89">
        <f t="shared" ref="I89:I97" si="28">+G89/H89</f>
        <v>2.8392578849721719</v>
      </c>
      <c r="N89">
        <v>-5.0086973180076641E-2</v>
      </c>
      <c r="O89">
        <v>0</v>
      </c>
    </row>
    <row r="90" spans="1:15">
      <c r="A90">
        <v>2</v>
      </c>
      <c r="B90">
        <v>5.18</v>
      </c>
      <c r="C90">
        <v>3.08</v>
      </c>
      <c r="D90">
        <v>94</v>
      </c>
      <c r="E90">
        <f t="shared" si="27"/>
        <v>2.2559999999999998</v>
      </c>
      <c r="F90">
        <f t="shared" ref="F90:F98" si="29">(5.25-C90)*E90</f>
        <v>4.8955199999999994</v>
      </c>
      <c r="G90">
        <f t="shared" ref="G90:G97" si="30">+F90-1.89</f>
        <v>3.0055199999999997</v>
      </c>
      <c r="H90">
        <v>0.85709999999999997</v>
      </c>
      <c r="I90">
        <f t="shared" si="28"/>
        <v>3.5066153307665382</v>
      </c>
      <c r="N90">
        <v>1.8042021276595755E-2</v>
      </c>
      <c r="O90">
        <f t="shared" ref="O90:O96" si="31">(N90/H90)</f>
        <v>2.1050077326561376E-2</v>
      </c>
    </row>
    <row r="91" spans="1:15">
      <c r="A91">
        <v>3</v>
      </c>
      <c r="B91">
        <v>5.29</v>
      </c>
      <c r="C91">
        <v>3.21</v>
      </c>
      <c r="D91">
        <v>96</v>
      </c>
      <c r="E91">
        <f t="shared" si="27"/>
        <v>2.3039999999999998</v>
      </c>
      <c r="F91">
        <f t="shared" si="29"/>
        <v>4.7001599999999994</v>
      </c>
      <c r="G91">
        <f t="shared" si="30"/>
        <v>2.8101599999999998</v>
      </c>
      <c r="H91">
        <v>0.81689999999999996</v>
      </c>
      <c r="I91">
        <f t="shared" si="28"/>
        <v>3.4400293793609986</v>
      </c>
      <c r="N91">
        <v>-4.5848437500000012E-2</v>
      </c>
      <c r="O91">
        <v>0</v>
      </c>
    </row>
    <row r="92" spans="1:15">
      <c r="A92">
        <v>4</v>
      </c>
      <c r="B92">
        <v>5.32</v>
      </c>
      <c r="C92">
        <v>3.62</v>
      </c>
      <c r="D92">
        <v>100</v>
      </c>
      <c r="E92">
        <f t="shared" si="27"/>
        <v>2.4</v>
      </c>
      <c r="F92">
        <f t="shared" si="29"/>
        <v>3.9119999999999995</v>
      </c>
      <c r="G92">
        <f t="shared" si="30"/>
        <v>2.0219999999999994</v>
      </c>
      <c r="H92">
        <v>0.81699999999999995</v>
      </c>
      <c r="I92">
        <f t="shared" si="28"/>
        <v>2.4749082007343937</v>
      </c>
      <c r="N92">
        <v>-7.9645000000000021E-2</v>
      </c>
      <c r="O92">
        <v>0</v>
      </c>
    </row>
    <row r="93" spans="1:15">
      <c r="A93">
        <v>5</v>
      </c>
      <c r="B93">
        <v>5.28</v>
      </c>
      <c r="C93">
        <v>3.39</v>
      </c>
      <c r="D93">
        <v>140</v>
      </c>
      <c r="E93">
        <f t="shared" si="27"/>
        <v>3.36</v>
      </c>
      <c r="F93">
        <f t="shared" si="29"/>
        <v>6.2495999999999992</v>
      </c>
      <c r="G93">
        <f t="shared" si="30"/>
        <v>4.3595999999999995</v>
      </c>
      <c r="H93">
        <v>0.79830000000000001</v>
      </c>
      <c r="I93">
        <f t="shared" si="28"/>
        <v>5.461104847801578</v>
      </c>
      <c r="N93">
        <v>3.1491071428571424E-2</v>
      </c>
      <c r="O93">
        <f t="shared" si="31"/>
        <v>3.9447665575061283E-2</v>
      </c>
    </row>
    <row r="94" spans="1:15">
      <c r="A94">
        <v>6</v>
      </c>
      <c r="B94">
        <v>5.24</v>
      </c>
      <c r="C94">
        <v>4.12</v>
      </c>
      <c r="D94">
        <v>97</v>
      </c>
      <c r="E94">
        <f t="shared" si="27"/>
        <v>2.3279999999999998</v>
      </c>
      <c r="F94">
        <f t="shared" si="29"/>
        <v>2.6306399999999996</v>
      </c>
      <c r="G94">
        <f t="shared" si="30"/>
        <v>0.74063999999999974</v>
      </c>
      <c r="H94">
        <v>0.96840000000000004</v>
      </c>
      <c r="I94">
        <f t="shared" si="28"/>
        <v>0.76480793060718677</v>
      </c>
      <c r="N94">
        <v>4.0074617845716309E-2</v>
      </c>
      <c r="O94">
        <f t="shared" si="31"/>
        <v>4.1382298477608742E-2</v>
      </c>
    </row>
    <row r="95" spans="1:15">
      <c r="A95">
        <v>7</v>
      </c>
      <c r="B95" t="s">
        <v>5</v>
      </c>
      <c r="C95">
        <v>3.8</v>
      </c>
      <c r="D95">
        <v>97</v>
      </c>
      <c r="E95">
        <f t="shared" si="27"/>
        <v>2.3279999999999998</v>
      </c>
      <c r="F95">
        <f t="shared" si="29"/>
        <v>3.3756000000000004</v>
      </c>
      <c r="G95">
        <f t="shared" si="30"/>
        <v>1.4856000000000005</v>
      </c>
      <c r="H95">
        <v>0.71779999999999999</v>
      </c>
      <c r="I95">
        <f t="shared" si="28"/>
        <v>2.0696572861521321</v>
      </c>
      <c r="N95">
        <v>-4.409441876999648E-2</v>
      </c>
      <c r="O95">
        <v>0</v>
      </c>
    </row>
    <row r="96" spans="1:15">
      <c r="A96">
        <v>8</v>
      </c>
      <c r="B96">
        <f>+AVERAGE(B89:B94)</f>
        <v>5.2533333333333339</v>
      </c>
      <c r="C96">
        <v>3.57</v>
      </c>
      <c r="D96">
        <v>105</v>
      </c>
      <c r="E96">
        <f t="shared" si="27"/>
        <v>2.52</v>
      </c>
      <c r="F96">
        <f t="shared" si="29"/>
        <v>4.2336</v>
      </c>
      <c r="G96">
        <f t="shared" si="30"/>
        <v>2.3436000000000003</v>
      </c>
      <c r="H96">
        <v>0.78790000000000004</v>
      </c>
      <c r="I96">
        <f t="shared" si="28"/>
        <v>2.9744891483690825</v>
      </c>
      <c r="N96">
        <v>3.4624630541871912E-2</v>
      </c>
      <c r="O96">
        <f t="shared" si="31"/>
        <v>4.3945463309902157E-2</v>
      </c>
    </row>
    <row r="97" spans="1:15">
      <c r="A97">
        <v>9</v>
      </c>
      <c r="C97">
        <v>4.05</v>
      </c>
      <c r="D97">
        <v>97</v>
      </c>
      <c r="E97">
        <f t="shared" si="27"/>
        <v>2.3279999999999998</v>
      </c>
      <c r="F97">
        <f t="shared" si="29"/>
        <v>2.7936000000000001</v>
      </c>
      <c r="G97">
        <f t="shared" si="30"/>
        <v>0.90360000000000018</v>
      </c>
      <c r="H97">
        <v>0.78049999999999997</v>
      </c>
      <c r="I97">
        <f t="shared" si="28"/>
        <v>1.157719410634209</v>
      </c>
      <c r="N97">
        <v>-2.587365801635266E-2</v>
      </c>
      <c r="O97">
        <v>0</v>
      </c>
    </row>
    <row r="98" spans="1:15">
      <c r="A98" t="s">
        <v>35</v>
      </c>
      <c r="C98">
        <v>4.41</v>
      </c>
      <c r="D98">
        <v>94</v>
      </c>
      <c r="E98">
        <f t="shared" si="27"/>
        <v>2.2559999999999998</v>
      </c>
      <c r="F98">
        <f t="shared" si="29"/>
        <v>1.8950399999999994</v>
      </c>
    </row>
    <row r="100" spans="1:15">
      <c r="C100">
        <f t="shared" ref="C100:L100" si="32">+AVERAGE(C89:C98)</f>
        <v>3.6590000000000003</v>
      </c>
      <c r="D100">
        <f t="shared" si="32"/>
        <v>102.8</v>
      </c>
      <c r="E100">
        <f t="shared" si="32"/>
        <v>2.4672000000000001</v>
      </c>
      <c r="F100">
        <f t="shared" si="32"/>
        <v>3.9636480000000001</v>
      </c>
      <c r="G100">
        <f t="shared" si="32"/>
        <v>2.3034933333333338</v>
      </c>
      <c r="H100">
        <f t="shared" si="32"/>
        <v>0.84687777777777784</v>
      </c>
      <c r="I100">
        <f t="shared" si="32"/>
        <v>2.7431766021553656</v>
      </c>
      <c r="J100" t="e">
        <f t="shared" si="32"/>
        <v>#DIV/0!</v>
      </c>
      <c r="K100" t="e">
        <f t="shared" si="32"/>
        <v>#DIV/0!</v>
      </c>
      <c r="L100" t="e">
        <f t="shared" si="32"/>
        <v>#DIV/0!</v>
      </c>
      <c r="O100">
        <f>+AVERAGE(O89:O98)</f>
        <v>1.6202833854348172E-2</v>
      </c>
    </row>
    <row r="106" spans="1:15">
      <c r="A106" t="s">
        <v>44</v>
      </c>
      <c r="C106" t="s">
        <v>45</v>
      </c>
    </row>
    <row r="107" spans="1:15">
      <c r="B107" t="s">
        <v>13</v>
      </c>
      <c r="D107" t="s">
        <v>14</v>
      </c>
      <c r="E107" t="s">
        <v>14</v>
      </c>
      <c r="F107" t="s">
        <v>15</v>
      </c>
      <c r="H107" t="s">
        <v>16</v>
      </c>
      <c r="I107" t="s">
        <v>10</v>
      </c>
      <c r="K107" t="s">
        <v>17</v>
      </c>
      <c r="L107" t="s">
        <v>10</v>
      </c>
    </row>
    <row r="108" spans="1:15">
      <c r="A108" t="s">
        <v>24</v>
      </c>
      <c r="B108" t="s">
        <v>25</v>
      </c>
      <c r="C108" t="s">
        <v>37</v>
      </c>
      <c r="D108" t="s">
        <v>27</v>
      </c>
      <c r="E108" t="s">
        <v>28</v>
      </c>
      <c r="F108" t="s">
        <v>29</v>
      </c>
      <c r="G108" t="s">
        <v>30</v>
      </c>
      <c r="H108" t="s">
        <v>31</v>
      </c>
      <c r="I108" t="s">
        <v>32</v>
      </c>
      <c r="K108" t="s">
        <v>31</v>
      </c>
      <c r="L108" t="s">
        <v>33</v>
      </c>
    </row>
    <row r="109" spans="1:15">
      <c r="A109">
        <v>1</v>
      </c>
      <c r="B109">
        <v>5.31</v>
      </c>
      <c r="C109">
        <v>3.41</v>
      </c>
      <c r="D109">
        <v>108</v>
      </c>
      <c r="E109">
        <f t="shared" ref="E109:E118" si="33">+(((D109/50)*60)*20)/1000</f>
        <v>2.5920000000000005</v>
      </c>
      <c r="F109">
        <f>(5.39-C109)*E109</f>
        <v>5.1321599999999998</v>
      </c>
      <c r="G109">
        <f>+F109-1.98</f>
        <v>3.1521599999999999</v>
      </c>
      <c r="H109">
        <v>1.0780000000000001</v>
      </c>
      <c r="I109">
        <f t="shared" ref="I109:I117" si="34">+G109/H109</f>
        <v>2.9240816326530608</v>
      </c>
    </row>
    <row r="110" spans="1:15">
      <c r="A110">
        <v>2</v>
      </c>
      <c r="B110">
        <v>5.24</v>
      </c>
      <c r="C110">
        <v>3.17</v>
      </c>
      <c r="D110">
        <v>94</v>
      </c>
      <c r="E110">
        <f t="shared" si="33"/>
        <v>2.2559999999999998</v>
      </c>
      <c r="F110">
        <f t="shared" ref="F110:F118" si="35">(5.39-C110)*E110</f>
        <v>5.0083199999999986</v>
      </c>
      <c r="G110">
        <f t="shared" ref="G110:G117" si="36">+F110-1.98</f>
        <v>3.0283199999999986</v>
      </c>
      <c r="H110">
        <v>0.85709999999999997</v>
      </c>
      <c r="I110">
        <f t="shared" si="34"/>
        <v>3.5332166608330402</v>
      </c>
    </row>
    <row r="111" spans="1:15">
      <c r="A111">
        <v>3</v>
      </c>
      <c r="B111">
        <v>5.43</v>
      </c>
      <c r="C111">
        <v>3.4</v>
      </c>
      <c r="D111">
        <v>96</v>
      </c>
      <c r="E111">
        <f t="shared" si="33"/>
        <v>2.3039999999999998</v>
      </c>
      <c r="F111">
        <f t="shared" si="35"/>
        <v>4.5849599999999988</v>
      </c>
      <c r="G111">
        <f t="shared" si="36"/>
        <v>2.6049599999999988</v>
      </c>
      <c r="H111">
        <v>0.81689999999999996</v>
      </c>
      <c r="I111">
        <f t="shared" si="34"/>
        <v>3.1888358428204175</v>
      </c>
    </row>
    <row r="112" spans="1:15">
      <c r="A112">
        <v>4</v>
      </c>
      <c r="B112">
        <v>5.46</v>
      </c>
      <c r="C112">
        <v>3.64</v>
      </c>
      <c r="D112">
        <v>100</v>
      </c>
      <c r="E112">
        <f t="shared" si="33"/>
        <v>2.4</v>
      </c>
      <c r="F112">
        <f t="shared" si="35"/>
        <v>4.1999999999999984</v>
      </c>
      <c r="G112">
        <f t="shared" si="36"/>
        <v>2.2199999999999984</v>
      </c>
      <c r="H112">
        <v>0.81699999999999995</v>
      </c>
      <c r="I112">
        <f t="shared" si="34"/>
        <v>2.7172582619339027</v>
      </c>
    </row>
    <row r="113" spans="1:15">
      <c r="A113">
        <v>5</v>
      </c>
      <c r="B113">
        <v>5.43</v>
      </c>
      <c r="C113">
        <v>3.55</v>
      </c>
      <c r="D113">
        <v>140</v>
      </c>
      <c r="E113">
        <f t="shared" si="33"/>
        <v>3.36</v>
      </c>
      <c r="F113">
        <f t="shared" si="35"/>
        <v>6.1823999999999995</v>
      </c>
      <c r="G113">
        <f t="shared" si="36"/>
        <v>4.202399999999999</v>
      </c>
      <c r="H113">
        <v>0.79830000000000001</v>
      </c>
      <c r="I113">
        <f t="shared" si="34"/>
        <v>5.2641863960916933</v>
      </c>
    </row>
    <row r="114" spans="1:15">
      <c r="A114">
        <v>6</v>
      </c>
      <c r="B114">
        <v>5.48</v>
      </c>
      <c r="C114">
        <v>3.63</v>
      </c>
      <c r="D114">
        <v>97</v>
      </c>
      <c r="E114">
        <f t="shared" si="33"/>
        <v>2.3279999999999998</v>
      </c>
      <c r="F114">
        <f t="shared" si="35"/>
        <v>4.0972799999999996</v>
      </c>
      <c r="G114">
        <f t="shared" si="36"/>
        <v>2.1172799999999996</v>
      </c>
      <c r="H114">
        <v>0.96840000000000004</v>
      </c>
      <c r="I114">
        <f t="shared" si="34"/>
        <v>2.1863692688971494</v>
      </c>
    </row>
    <row r="115" spans="1:15">
      <c r="A115">
        <v>7</v>
      </c>
      <c r="B115" t="s">
        <v>5</v>
      </c>
      <c r="C115">
        <v>3.9</v>
      </c>
      <c r="D115">
        <v>97</v>
      </c>
      <c r="E115">
        <f t="shared" si="33"/>
        <v>2.3279999999999998</v>
      </c>
      <c r="F115">
        <f t="shared" si="35"/>
        <v>3.4687199999999994</v>
      </c>
      <c r="G115">
        <f t="shared" si="36"/>
        <v>1.4887199999999994</v>
      </c>
      <c r="H115">
        <v>0.71779999999999999</v>
      </c>
      <c r="I115">
        <f t="shared" si="34"/>
        <v>2.0740039008080235</v>
      </c>
    </row>
    <row r="116" spans="1:15">
      <c r="A116">
        <v>8</v>
      </c>
      <c r="B116">
        <f>+AVERAGE(B109:B114)</f>
        <v>5.3916666666666666</v>
      </c>
      <c r="C116">
        <v>3.89</v>
      </c>
      <c r="D116">
        <v>105</v>
      </c>
      <c r="E116">
        <f t="shared" si="33"/>
        <v>2.52</v>
      </c>
      <c r="F116">
        <f t="shared" si="35"/>
        <v>3.7799999999999989</v>
      </c>
      <c r="G116">
        <f t="shared" si="36"/>
        <v>1.7999999999999989</v>
      </c>
      <c r="H116">
        <v>0.78790000000000004</v>
      </c>
      <c r="I116">
        <f t="shared" si="34"/>
        <v>2.2845538773956071</v>
      </c>
    </row>
    <row r="117" spans="1:15">
      <c r="A117">
        <v>9</v>
      </c>
      <c r="C117">
        <v>4.2699999999999996</v>
      </c>
      <c r="D117">
        <v>97</v>
      </c>
      <c r="E117">
        <f t="shared" si="33"/>
        <v>2.3279999999999998</v>
      </c>
      <c r="F117">
        <f t="shared" si="35"/>
        <v>2.6073599999999999</v>
      </c>
      <c r="G117">
        <f t="shared" si="36"/>
        <v>0.62735999999999992</v>
      </c>
      <c r="H117">
        <v>0.78049999999999997</v>
      </c>
      <c r="I117">
        <f t="shared" si="34"/>
        <v>0.80379244074311329</v>
      </c>
    </row>
    <row r="118" spans="1:15">
      <c r="A118" t="s">
        <v>35</v>
      </c>
      <c r="C118">
        <v>4.51</v>
      </c>
      <c r="D118">
        <v>94</v>
      </c>
      <c r="E118">
        <f t="shared" si="33"/>
        <v>2.2559999999999998</v>
      </c>
      <c r="F118">
        <f t="shared" si="35"/>
        <v>1.9852799999999995</v>
      </c>
    </row>
    <row r="120" spans="1:15">
      <c r="C120">
        <f t="shared" ref="C120:L120" si="37">+AVERAGE(C109:C118)</f>
        <v>3.7369999999999997</v>
      </c>
      <c r="D120">
        <f t="shared" si="37"/>
        <v>102.8</v>
      </c>
      <c r="E120">
        <f t="shared" si="37"/>
        <v>2.4672000000000001</v>
      </c>
      <c r="F120">
        <f t="shared" si="37"/>
        <v>4.1046479999999992</v>
      </c>
      <c r="G120">
        <f t="shared" si="37"/>
        <v>2.3601333333333328</v>
      </c>
      <c r="H120">
        <f t="shared" si="37"/>
        <v>0.84687777777777784</v>
      </c>
      <c r="I120">
        <f t="shared" si="37"/>
        <v>2.7751442535751121</v>
      </c>
      <c r="J120" t="e">
        <f t="shared" si="37"/>
        <v>#DIV/0!</v>
      </c>
      <c r="K120" t="e">
        <f t="shared" si="37"/>
        <v>#DIV/0!</v>
      </c>
      <c r="L120" t="e">
        <f t="shared" si="37"/>
        <v>#DIV/0!</v>
      </c>
      <c r="O120" t="e">
        <f>+AVERAGE(O109:O118)</f>
        <v>#DIV/0!</v>
      </c>
    </row>
    <row r="125" spans="1:15">
      <c r="A125" t="s">
        <v>46</v>
      </c>
      <c r="C125" t="s">
        <v>47</v>
      </c>
    </row>
    <row r="126" spans="1:15">
      <c r="B126" t="s">
        <v>13</v>
      </c>
      <c r="D126" t="s">
        <v>14</v>
      </c>
      <c r="E126" t="s">
        <v>14</v>
      </c>
      <c r="F126" t="s">
        <v>15</v>
      </c>
      <c r="H126" t="s">
        <v>16</v>
      </c>
      <c r="I126" t="s">
        <v>10</v>
      </c>
      <c r="K126" t="s">
        <v>17</v>
      </c>
      <c r="L126" t="s">
        <v>10</v>
      </c>
      <c r="O126" t="s">
        <v>19</v>
      </c>
    </row>
    <row r="127" spans="1:15">
      <c r="A127" t="s">
        <v>24</v>
      </c>
      <c r="B127" t="s">
        <v>25</v>
      </c>
      <c r="C127" t="s">
        <v>37</v>
      </c>
      <c r="D127" t="s">
        <v>27</v>
      </c>
      <c r="E127" t="s">
        <v>28</v>
      </c>
      <c r="F127" t="s">
        <v>29</v>
      </c>
      <c r="G127" t="s">
        <v>30</v>
      </c>
      <c r="H127" t="s">
        <v>31</v>
      </c>
      <c r="I127" t="s">
        <v>32</v>
      </c>
      <c r="K127" t="s">
        <v>31</v>
      </c>
      <c r="L127" t="s">
        <v>33</v>
      </c>
      <c r="O127" t="s">
        <v>34</v>
      </c>
    </row>
    <row r="128" spans="1:15">
      <c r="A128">
        <v>1</v>
      </c>
      <c r="B128">
        <v>5.4</v>
      </c>
      <c r="C128">
        <v>3.22</v>
      </c>
      <c r="D128">
        <v>108</v>
      </c>
      <c r="E128">
        <f t="shared" ref="E128:E137" si="38">+(((D128/50)*60)*20)/1000</f>
        <v>2.5920000000000005</v>
      </c>
      <c r="F128">
        <f>(5.45-C128)*E128</f>
        <v>5.7801600000000013</v>
      </c>
      <c r="G128">
        <f>+F128-2.05</f>
        <v>3.7301600000000015</v>
      </c>
      <c r="H128">
        <v>1.0780000000000001</v>
      </c>
      <c r="I128">
        <f t="shared" ref="I128:I136" si="39">+G128/H128</f>
        <v>3.4602597402597413</v>
      </c>
      <c r="O128">
        <f t="shared" ref="O128:O131" si="40">(N109/H128)</f>
        <v>0</v>
      </c>
    </row>
    <row r="129" spans="1:15">
      <c r="A129">
        <v>2</v>
      </c>
      <c r="B129">
        <v>5.46</v>
      </c>
      <c r="C129">
        <v>3.51</v>
      </c>
      <c r="D129">
        <v>94</v>
      </c>
      <c r="E129">
        <f t="shared" si="38"/>
        <v>2.2559999999999998</v>
      </c>
      <c r="F129">
        <f t="shared" ref="F129:F137" si="41">(5.45-C129)*E129</f>
        <v>4.3766400000000001</v>
      </c>
      <c r="G129">
        <f t="shared" ref="G129:G136" si="42">+F129-2.05</f>
        <v>2.3266400000000003</v>
      </c>
      <c r="H129">
        <v>0.85709999999999997</v>
      </c>
      <c r="I129">
        <f t="shared" si="39"/>
        <v>2.7145490607863731</v>
      </c>
      <c r="O129">
        <f t="shared" si="40"/>
        <v>0</v>
      </c>
    </row>
    <row r="130" spans="1:15">
      <c r="A130">
        <v>3</v>
      </c>
      <c r="B130">
        <v>5.41</v>
      </c>
      <c r="C130">
        <v>3.51</v>
      </c>
      <c r="D130">
        <v>96</v>
      </c>
      <c r="E130">
        <f t="shared" si="38"/>
        <v>2.3039999999999998</v>
      </c>
      <c r="F130">
        <f t="shared" si="41"/>
        <v>4.4697600000000008</v>
      </c>
      <c r="G130">
        <f t="shared" si="42"/>
        <v>2.419760000000001</v>
      </c>
      <c r="H130">
        <v>0.81689999999999996</v>
      </c>
      <c r="I130">
        <f t="shared" si="39"/>
        <v>2.962125107112255</v>
      </c>
      <c r="O130">
        <f t="shared" si="40"/>
        <v>0</v>
      </c>
    </row>
    <row r="131" spans="1:15">
      <c r="A131">
        <v>4</v>
      </c>
      <c r="B131">
        <v>5.47</v>
      </c>
      <c r="C131">
        <v>3.53</v>
      </c>
      <c r="D131">
        <v>100</v>
      </c>
      <c r="E131">
        <f t="shared" si="38"/>
        <v>2.4</v>
      </c>
      <c r="F131">
        <f t="shared" si="41"/>
        <v>4.6080000000000005</v>
      </c>
      <c r="G131">
        <f t="shared" si="42"/>
        <v>2.5580000000000007</v>
      </c>
      <c r="H131">
        <v>0.81699999999999995</v>
      </c>
      <c r="I131">
        <f t="shared" si="39"/>
        <v>3.1309669522643828</v>
      </c>
      <c r="O131">
        <f t="shared" si="40"/>
        <v>0</v>
      </c>
    </row>
    <row r="132" spans="1:15">
      <c r="A132">
        <v>5</v>
      </c>
      <c r="B132">
        <v>5.48</v>
      </c>
      <c r="C132">
        <v>3.55</v>
      </c>
      <c r="D132">
        <v>140</v>
      </c>
      <c r="E132">
        <f t="shared" si="38"/>
        <v>3.36</v>
      </c>
      <c r="F132">
        <f t="shared" si="41"/>
        <v>6.3840000000000012</v>
      </c>
      <c r="G132">
        <f t="shared" si="42"/>
        <v>4.3340000000000014</v>
      </c>
      <c r="H132">
        <v>0.79830000000000001</v>
      </c>
      <c r="I132">
        <f t="shared" si="39"/>
        <v>5.429036702993864</v>
      </c>
      <c r="O132">
        <f t="shared" ref="O132:O135" si="43">(N134/H132)</f>
        <v>0</v>
      </c>
    </row>
    <row r="133" spans="1:15">
      <c r="A133">
        <v>6</v>
      </c>
      <c r="B133">
        <v>5.48</v>
      </c>
      <c r="C133">
        <v>3.54</v>
      </c>
      <c r="D133">
        <v>97</v>
      </c>
      <c r="E133">
        <f t="shared" si="38"/>
        <v>2.3279999999999998</v>
      </c>
      <c r="F133">
        <f t="shared" si="41"/>
        <v>4.4464800000000002</v>
      </c>
      <c r="G133">
        <f t="shared" si="42"/>
        <v>2.3964800000000004</v>
      </c>
      <c r="H133">
        <v>0.96840000000000004</v>
      </c>
      <c r="I133">
        <f t="shared" si="39"/>
        <v>2.4746798843453122</v>
      </c>
      <c r="O133">
        <f t="shared" si="43"/>
        <v>0</v>
      </c>
    </row>
    <row r="134" spans="1:15">
      <c r="A134">
        <v>7</v>
      </c>
      <c r="B134" t="s">
        <v>5</v>
      </c>
      <c r="C134">
        <v>3.95</v>
      </c>
      <c r="D134">
        <v>97</v>
      </c>
      <c r="E134">
        <f t="shared" si="38"/>
        <v>2.3279999999999998</v>
      </c>
      <c r="F134">
        <f t="shared" si="41"/>
        <v>3.492</v>
      </c>
      <c r="G134">
        <f t="shared" si="42"/>
        <v>1.4420000000000002</v>
      </c>
      <c r="H134">
        <v>0.71779999999999999</v>
      </c>
      <c r="I134">
        <f t="shared" si="39"/>
        <v>2.0089161326274732</v>
      </c>
      <c r="O134">
        <f t="shared" si="43"/>
        <v>0</v>
      </c>
    </row>
    <row r="135" spans="1:15">
      <c r="A135">
        <v>8</v>
      </c>
      <c r="B135">
        <f>+AVERAGE(B128:B133)</f>
        <v>5.45</v>
      </c>
      <c r="C135">
        <v>3.82</v>
      </c>
      <c r="D135">
        <v>105</v>
      </c>
      <c r="E135">
        <f t="shared" si="38"/>
        <v>2.52</v>
      </c>
      <c r="F135">
        <f t="shared" si="41"/>
        <v>4.1076000000000006</v>
      </c>
      <c r="G135">
        <f t="shared" si="42"/>
        <v>2.0576000000000008</v>
      </c>
      <c r="H135">
        <v>0.78790000000000004</v>
      </c>
      <c r="I135">
        <f t="shared" si="39"/>
        <v>2.6114989211828918</v>
      </c>
      <c r="O135">
        <f t="shared" si="43"/>
        <v>0</v>
      </c>
    </row>
    <row r="136" spans="1:15">
      <c r="A136">
        <v>9</v>
      </c>
      <c r="C136">
        <v>4.34</v>
      </c>
      <c r="D136">
        <v>97</v>
      </c>
      <c r="E136">
        <f t="shared" si="38"/>
        <v>2.3279999999999998</v>
      </c>
      <c r="F136">
        <f t="shared" si="41"/>
        <v>2.5840800000000006</v>
      </c>
      <c r="G136">
        <f t="shared" si="42"/>
        <v>0.53408000000000078</v>
      </c>
      <c r="H136">
        <v>0.78049999999999997</v>
      </c>
      <c r="I136">
        <f t="shared" si="39"/>
        <v>0.68427930813581139</v>
      </c>
      <c r="O136">
        <f>(N117/H136)</f>
        <v>0</v>
      </c>
    </row>
    <row r="137" spans="1:15">
      <c r="A137" t="s">
        <v>35</v>
      </c>
      <c r="C137">
        <v>4.54</v>
      </c>
      <c r="D137">
        <v>94</v>
      </c>
      <c r="E137">
        <f t="shared" si="38"/>
        <v>2.2559999999999998</v>
      </c>
      <c r="F137">
        <f t="shared" si="41"/>
        <v>2.0529600000000001</v>
      </c>
    </row>
    <row r="139" spans="1:15">
      <c r="C139">
        <f t="shared" ref="C139:L139" si="44">+AVERAGE(C128:C137)</f>
        <v>3.7509999999999999</v>
      </c>
      <c r="D139">
        <f t="shared" si="44"/>
        <v>102.8</v>
      </c>
      <c r="E139">
        <f t="shared" si="44"/>
        <v>2.4672000000000001</v>
      </c>
      <c r="F139">
        <f t="shared" si="44"/>
        <v>4.2301679999999999</v>
      </c>
      <c r="G139">
        <f t="shared" si="44"/>
        <v>2.4220800000000007</v>
      </c>
      <c r="H139">
        <f t="shared" si="44"/>
        <v>0.84687777777777784</v>
      </c>
      <c r="I139">
        <f t="shared" si="44"/>
        <v>2.8307013121897899</v>
      </c>
      <c r="J139" t="e">
        <f t="shared" si="44"/>
        <v>#DIV/0!</v>
      </c>
      <c r="K139" t="e">
        <f t="shared" si="44"/>
        <v>#DIV/0!</v>
      </c>
      <c r="L139" t="e">
        <f t="shared" si="44"/>
        <v>#DIV/0!</v>
      </c>
      <c r="O139">
        <f>+AVERAGE(O128:O137)</f>
        <v>0</v>
      </c>
    </row>
    <row r="144" spans="1:15">
      <c r="A144" t="s">
        <v>48</v>
      </c>
      <c r="C144" t="s">
        <v>49</v>
      </c>
    </row>
    <row r="145" spans="1:15">
      <c r="B145" t="s">
        <v>13</v>
      </c>
      <c r="D145" t="s">
        <v>14</v>
      </c>
      <c r="E145" t="s">
        <v>14</v>
      </c>
      <c r="F145" t="s">
        <v>15</v>
      </c>
      <c r="H145" t="s">
        <v>16</v>
      </c>
      <c r="I145" t="s">
        <v>10</v>
      </c>
      <c r="K145" t="s">
        <v>17</v>
      </c>
      <c r="L145" t="s">
        <v>10</v>
      </c>
      <c r="O145" t="s">
        <v>19</v>
      </c>
    </row>
    <row r="146" spans="1:15">
      <c r="A146" t="s">
        <v>24</v>
      </c>
      <c r="B146" t="s">
        <v>25</v>
      </c>
      <c r="C146" t="s">
        <v>37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32</v>
      </c>
      <c r="K146" t="s">
        <v>31</v>
      </c>
      <c r="L146" t="s">
        <v>33</v>
      </c>
      <c r="O146" t="s">
        <v>34</v>
      </c>
    </row>
    <row r="147" spans="1:15">
      <c r="A147">
        <v>1</v>
      </c>
      <c r="B147">
        <v>5.15</v>
      </c>
      <c r="C147">
        <v>2.96</v>
      </c>
      <c r="D147">
        <v>108</v>
      </c>
      <c r="E147">
        <f t="shared" ref="E147:E156" si="45">+(((D147/50)*60)*20)/1000</f>
        <v>2.5920000000000005</v>
      </c>
      <c r="F147">
        <f>(5.18-C147)*E147</f>
        <v>5.7542400000000002</v>
      </c>
      <c r="G147">
        <f>+F147-1.94</f>
        <v>3.8142400000000003</v>
      </c>
      <c r="H147">
        <v>1.0780000000000001</v>
      </c>
      <c r="I147">
        <f t="shared" ref="I147:I155" si="46">+G147/H147</f>
        <v>3.5382560296846011</v>
      </c>
      <c r="O147">
        <f t="shared" ref="O147:O155" si="47">(N128/H147)</f>
        <v>0</v>
      </c>
    </row>
    <row r="148" spans="1:15">
      <c r="A148">
        <v>2</v>
      </c>
      <c r="B148">
        <v>5.19</v>
      </c>
      <c r="C148">
        <v>3.28</v>
      </c>
      <c r="D148">
        <v>94</v>
      </c>
      <c r="E148">
        <f t="shared" si="45"/>
        <v>2.2559999999999998</v>
      </c>
      <c r="F148">
        <f t="shared" ref="F148:F156" si="48">(5.18-C148)*E148</f>
        <v>4.2863999999999995</v>
      </c>
      <c r="G148">
        <f t="shared" ref="G148:G155" si="49">+F148-1.94</f>
        <v>2.3463999999999996</v>
      </c>
      <c r="H148">
        <v>0.85709999999999997</v>
      </c>
      <c r="I148">
        <f t="shared" si="46"/>
        <v>2.7376035468440083</v>
      </c>
      <c r="O148">
        <f t="shared" si="47"/>
        <v>0</v>
      </c>
    </row>
    <row r="149" spans="1:15">
      <c r="A149">
        <v>3</v>
      </c>
      <c r="B149">
        <v>5.15</v>
      </c>
      <c r="C149">
        <v>3.31</v>
      </c>
      <c r="D149">
        <v>96</v>
      </c>
      <c r="E149">
        <f t="shared" si="45"/>
        <v>2.3039999999999998</v>
      </c>
      <c r="F149">
        <f t="shared" si="48"/>
        <v>4.3084799999999985</v>
      </c>
      <c r="G149">
        <f t="shared" si="49"/>
        <v>2.3684799999999986</v>
      </c>
      <c r="H149">
        <v>0.81689999999999996</v>
      </c>
      <c r="I149">
        <f t="shared" si="46"/>
        <v>2.8993512057779394</v>
      </c>
      <c r="O149">
        <f t="shared" si="47"/>
        <v>0</v>
      </c>
    </row>
    <row r="150" spans="1:15">
      <c r="A150">
        <v>4</v>
      </c>
      <c r="B150">
        <v>5.24</v>
      </c>
      <c r="C150">
        <v>3.41</v>
      </c>
      <c r="D150">
        <v>100</v>
      </c>
      <c r="E150">
        <f t="shared" si="45"/>
        <v>2.4</v>
      </c>
      <c r="F150">
        <f t="shared" si="48"/>
        <v>4.2479999999999984</v>
      </c>
      <c r="G150">
        <f t="shared" si="49"/>
        <v>2.3079999999999985</v>
      </c>
      <c r="H150">
        <v>0.81699999999999995</v>
      </c>
      <c r="I150">
        <f t="shared" si="46"/>
        <v>2.8249694002447963</v>
      </c>
      <c r="O150">
        <f t="shared" si="47"/>
        <v>0</v>
      </c>
    </row>
    <row r="151" spans="1:15">
      <c r="A151">
        <v>5</v>
      </c>
      <c r="B151">
        <v>5.14</v>
      </c>
      <c r="C151">
        <v>3.38</v>
      </c>
      <c r="D151">
        <v>140</v>
      </c>
      <c r="E151">
        <f t="shared" si="45"/>
        <v>3.36</v>
      </c>
      <c r="F151">
        <f t="shared" si="48"/>
        <v>6.0479999999999992</v>
      </c>
      <c r="G151">
        <f t="shared" si="49"/>
        <v>4.1079999999999988</v>
      </c>
      <c r="H151">
        <v>0.79830000000000001</v>
      </c>
      <c r="I151">
        <f t="shared" si="46"/>
        <v>5.1459351121132393</v>
      </c>
      <c r="O151">
        <f t="shared" si="47"/>
        <v>0</v>
      </c>
    </row>
    <row r="152" spans="1:15">
      <c r="A152">
        <v>6</v>
      </c>
      <c r="B152">
        <v>5.19</v>
      </c>
      <c r="C152">
        <v>3.53</v>
      </c>
      <c r="D152">
        <v>97</v>
      </c>
      <c r="E152">
        <f t="shared" si="45"/>
        <v>2.3279999999999998</v>
      </c>
      <c r="F152">
        <f t="shared" si="48"/>
        <v>3.8411999999999997</v>
      </c>
      <c r="G152">
        <f t="shared" si="49"/>
        <v>1.9011999999999998</v>
      </c>
      <c r="H152">
        <v>0.96840000000000004</v>
      </c>
      <c r="I152">
        <f t="shared" si="46"/>
        <v>1.9632383312680708</v>
      </c>
      <c r="O152">
        <f t="shared" si="47"/>
        <v>0</v>
      </c>
    </row>
    <row r="153" spans="1:15">
      <c r="A153">
        <v>7</v>
      </c>
      <c r="B153" t="s">
        <v>5</v>
      </c>
      <c r="C153">
        <v>3.81</v>
      </c>
      <c r="D153">
        <v>97</v>
      </c>
      <c r="E153">
        <f t="shared" si="45"/>
        <v>2.3279999999999998</v>
      </c>
      <c r="F153">
        <f t="shared" si="48"/>
        <v>3.1893599999999989</v>
      </c>
      <c r="G153">
        <f t="shared" si="49"/>
        <v>1.2493599999999989</v>
      </c>
      <c r="H153">
        <v>0.71779999999999999</v>
      </c>
      <c r="I153">
        <f t="shared" si="46"/>
        <v>1.740540540540539</v>
      </c>
      <c r="O153">
        <f t="shared" si="47"/>
        <v>0</v>
      </c>
    </row>
    <row r="154" spans="1:15">
      <c r="A154">
        <v>8</v>
      </c>
      <c r="B154">
        <f>+AVERAGE(B147:B152)</f>
        <v>5.1766666666666667</v>
      </c>
      <c r="C154">
        <v>3.78</v>
      </c>
      <c r="D154">
        <v>105</v>
      </c>
      <c r="E154">
        <f t="shared" si="45"/>
        <v>2.52</v>
      </c>
      <c r="F154">
        <f t="shared" si="48"/>
        <v>3.5279999999999996</v>
      </c>
      <c r="G154">
        <f t="shared" si="49"/>
        <v>1.5879999999999996</v>
      </c>
      <c r="H154">
        <v>0.78790000000000004</v>
      </c>
      <c r="I154">
        <f t="shared" si="46"/>
        <v>2.0154841985023473</v>
      </c>
      <c r="O154">
        <f t="shared" si="47"/>
        <v>0</v>
      </c>
    </row>
    <row r="155" spans="1:15">
      <c r="A155">
        <v>9</v>
      </c>
      <c r="C155">
        <v>4.04</v>
      </c>
      <c r="D155">
        <v>97</v>
      </c>
      <c r="E155">
        <f t="shared" si="45"/>
        <v>2.3279999999999998</v>
      </c>
      <c r="F155">
        <f t="shared" si="48"/>
        <v>2.6539199999999989</v>
      </c>
      <c r="G155">
        <f t="shared" si="49"/>
        <v>0.713919999999999</v>
      </c>
      <c r="H155">
        <v>0.78049999999999997</v>
      </c>
      <c r="I155">
        <f t="shared" si="46"/>
        <v>0.91469570787956311</v>
      </c>
      <c r="O155">
        <f t="shared" si="47"/>
        <v>0</v>
      </c>
    </row>
    <row r="156" spans="1:15">
      <c r="A156" t="s">
        <v>35</v>
      </c>
      <c r="C156">
        <v>4.32</v>
      </c>
      <c r="D156">
        <v>94</v>
      </c>
      <c r="E156">
        <f t="shared" si="45"/>
        <v>2.2559999999999998</v>
      </c>
      <c r="F156">
        <f t="shared" si="48"/>
        <v>1.9401599999999986</v>
      </c>
    </row>
    <row r="158" spans="1:15">
      <c r="C158">
        <f>+AVERAGE(C148:C156)</f>
        <v>3.6511111111111112</v>
      </c>
      <c r="D158">
        <f t="shared" ref="D158:L158" si="50">+AVERAGE(D147:D156)</f>
        <v>102.8</v>
      </c>
      <c r="E158">
        <f t="shared" si="50"/>
        <v>2.4672000000000001</v>
      </c>
      <c r="F158">
        <f t="shared" si="50"/>
        <v>3.9797759999999989</v>
      </c>
      <c r="G158">
        <f t="shared" si="50"/>
        <v>2.2663999999999991</v>
      </c>
      <c r="H158">
        <f t="shared" si="50"/>
        <v>0.84687777777777784</v>
      </c>
      <c r="I158">
        <f t="shared" si="50"/>
        <v>2.6422304525394558</v>
      </c>
      <c r="J158" t="e">
        <f t="shared" si="50"/>
        <v>#DIV/0!</v>
      </c>
      <c r="K158" t="e">
        <f t="shared" si="50"/>
        <v>#DIV/0!</v>
      </c>
      <c r="L158" t="e">
        <f t="shared" si="50"/>
        <v>#DIV/0!</v>
      </c>
      <c r="O158">
        <f>+AVERAGE(O147:O156)</f>
        <v>0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A97"/>
  <sheetViews>
    <sheetView workbookViewId="0"/>
  </sheetViews>
  <sheetFormatPr baseColWidth="10" defaultRowHeight="12.75"/>
  <sheetData>
    <row r="1" spans="1:27">
      <c r="A1" t="s">
        <v>60</v>
      </c>
    </row>
    <row r="2" spans="1:27">
      <c r="A2" t="s">
        <v>61</v>
      </c>
    </row>
    <row r="3" spans="1:27">
      <c r="B3" t="s">
        <v>16</v>
      </c>
    </row>
    <row r="5" spans="1:27">
      <c r="A5" t="s">
        <v>62</v>
      </c>
      <c r="B5" t="s">
        <v>63</v>
      </c>
      <c r="H5" t="s">
        <v>54</v>
      </c>
      <c r="O5" t="s">
        <v>64</v>
      </c>
      <c r="P5" t="s">
        <v>65</v>
      </c>
      <c r="V5" t="s">
        <v>66</v>
      </c>
    </row>
    <row r="6" spans="1:27">
      <c r="A6" t="s">
        <v>30</v>
      </c>
      <c r="B6" t="s">
        <v>31</v>
      </c>
      <c r="C6" t="s">
        <v>67</v>
      </c>
      <c r="D6" t="s">
        <v>68</v>
      </c>
      <c r="H6" t="s">
        <v>30</v>
      </c>
      <c r="I6" t="s">
        <v>31</v>
      </c>
      <c r="J6" t="s">
        <v>67</v>
      </c>
      <c r="K6" t="s">
        <v>68</v>
      </c>
      <c r="O6" t="s">
        <v>30</v>
      </c>
      <c r="P6" t="s">
        <v>31</v>
      </c>
      <c r="Q6" t="s">
        <v>67</v>
      </c>
      <c r="R6" t="s">
        <v>68</v>
      </c>
      <c r="V6" t="s">
        <v>30</v>
      </c>
      <c r="W6" t="s">
        <v>31</v>
      </c>
      <c r="X6" t="s">
        <v>67</v>
      </c>
      <c r="Y6" t="s">
        <v>68</v>
      </c>
    </row>
    <row r="7" spans="1:27">
      <c r="A7">
        <v>0.63536000000000126</v>
      </c>
      <c r="B7">
        <v>0.66900000000000004</v>
      </c>
      <c r="C7">
        <f t="shared" ref="C7:D7" si="0">+LN(A7)</f>
        <v>-0.45356351159919372</v>
      </c>
      <c r="D7">
        <f t="shared" si="0"/>
        <v>-0.40197121885390852</v>
      </c>
      <c r="E7" t="s">
        <v>69</v>
      </c>
      <c r="F7">
        <v>0.815469</v>
      </c>
      <c r="H7">
        <v>3.8042399999999983</v>
      </c>
      <c r="I7">
        <v>1.08</v>
      </c>
      <c r="J7">
        <f t="shared" ref="J7:K7" si="1">+LN(H7)</f>
        <v>1.3361162341756094</v>
      </c>
      <c r="K7">
        <f t="shared" si="1"/>
        <v>7.6961041136128394E-2</v>
      </c>
      <c r="L7" t="s">
        <v>69</v>
      </c>
      <c r="M7">
        <f>RSQ(J7:J15,K7:K15)</f>
        <v>0.80874040221856769</v>
      </c>
      <c r="O7">
        <v>3.427360000000002</v>
      </c>
      <c r="P7">
        <v>1.19</v>
      </c>
      <c r="Q7">
        <f t="shared" ref="Q7:R7" si="2">+LN(O7)</f>
        <v>1.2317902855223695</v>
      </c>
      <c r="R7">
        <f t="shared" si="2"/>
        <v>0.17395330712343798</v>
      </c>
      <c r="S7" t="s">
        <v>69</v>
      </c>
      <c r="T7">
        <v>0.69858799999999999</v>
      </c>
      <c r="V7">
        <v>2.5135200000000006</v>
      </c>
      <c r="W7">
        <v>1.0780000000000001</v>
      </c>
      <c r="X7">
        <f t="shared" ref="X7:Y7" si="3">+LN(V7)</f>
        <v>0.92168416115086316</v>
      </c>
      <c r="Y7">
        <f t="shared" si="3"/>
        <v>7.5107472486805479E-2</v>
      </c>
      <c r="Z7" t="s">
        <v>69</v>
      </c>
      <c r="AA7" s="5">
        <v>0.71665979999999996</v>
      </c>
    </row>
    <row r="8" spans="1:27">
      <c r="A8">
        <v>2.0530400000000006</v>
      </c>
      <c r="B8">
        <v>0.66</v>
      </c>
      <c r="C8">
        <f t="shared" ref="C8:D15" si="4">+LN(A8)</f>
        <v>0.71932162152940837</v>
      </c>
      <c r="D8">
        <f t="shared" si="4"/>
        <v>-0.41551544396166579</v>
      </c>
      <c r="E8" t="s">
        <v>70</v>
      </c>
      <c r="F8">
        <f>SLOPE(C7:C15,D7:D15)</f>
        <v>1.3367514195901047</v>
      </c>
      <c r="H8">
        <v>2.9882399999999985</v>
      </c>
      <c r="I8">
        <v>0.82</v>
      </c>
      <c r="J8">
        <f t="shared" ref="J8:K15" si="5">+LN(H8)</f>
        <v>1.0946845853301292</v>
      </c>
      <c r="K8">
        <f t="shared" si="5"/>
        <v>-0.19845093872383832</v>
      </c>
      <c r="L8" t="s">
        <v>70</v>
      </c>
      <c r="M8">
        <f>SLOPE(J7:J15,K7:K15)</f>
        <v>2.3465686577679152</v>
      </c>
      <c r="O8">
        <v>2.5715200000000005</v>
      </c>
      <c r="P8">
        <v>1.08</v>
      </c>
      <c r="Q8">
        <f t="shared" ref="Q8:R15" si="6">+LN(O8)</f>
        <v>0.94449716376432336</v>
      </c>
      <c r="R8">
        <f t="shared" si="6"/>
        <v>7.6961041136128394E-2</v>
      </c>
      <c r="S8" t="s">
        <v>70</v>
      </c>
      <c r="T8">
        <f>SLOPE(Q7:Q15,R7:R15)</f>
        <v>0.78418691244207817</v>
      </c>
      <c r="V8">
        <v>2.68872</v>
      </c>
      <c r="W8">
        <v>0.85709999999999997</v>
      </c>
      <c r="X8">
        <f t="shared" ref="X8:Y15" si="7">+LN(V8)</f>
        <v>0.98906524393644046</v>
      </c>
      <c r="Y8">
        <f t="shared" si="7"/>
        <v>-0.15420068107730001</v>
      </c>
      <c r="Z8" t="s">
        <v>70</v>
      </c>
      <c r="AA8">
        <f>SLOPE(X7:X15,Y7:Y15)</f>
        <v>0.76100813206956874</v>
      </c>
    </row>
    <row r="9" spans="1:27">
      <c r="A9">
        <v>2.6096000000000008</v>
      </c>
      <c r="B9">
        <v>0.77100000000000002</v>
      </c>
      <c r="C9">
        <f t="shared" si="4"/>
        <v>0.95919695288461271</v>
      </c>
      <c r="D9">
        <f t="shared" si="4"/>
        <v>-0.26006690541880756</v>
      </c>
      <c r="E9" t="s">
        <v>71</v>
      </c>
      <c r="F9">
        <f>+ INTERCEPT(C7:C15,D7:D15)</f>
        <v>1.3070829484245987</v>
      </c>
      <c r="H9">
        <v>3.2815199999999995</v>
      </c>
      <c r="I9">
        <v>0.89</v>
      </c>
      <c r="J9">
        <f t="shared" si="5"/>
        <v>1.1883067296867986</v>
      </c>
      <c r="K9">
        <f t="shared" si="5"/>
        <v>-0.11653381625595151</v>
      </c>
      <c r="L9" t="s">
        <v>71</v>
      </c>
      <c r="M9">
        <f>+ INTERCEPT(J7:J15,K7:K15)</f>
        <v>1.4018240848245236</v>
      </c>
      <c r="O9">
        <v>2.2072000000000003</v>
      </c>
      <c r="P9">
        <v>0.64</v>
      </c>
      <c r="Q9">
        <f t="shared" si="6"/>
        <v>0.79172474392093939</v>
      </c>
      <c r="R9">
        <f t="shared" si="6"/>
        <v>-0.44628710262841947</v>
      </c>
      <c r="S9" t="s">
        <v>71</v>
      </c>
      <c r="T9">
        <f>+ INTERCEPT(Q7:Q15,R7:R15)</f>
        <v>0.98903980955828374</v>
      </c>
      <c r="V9">
        <v>2.80152</v>
      </c>
      <c r="W9">
        <v>0.81689999999999996</v>
      </c>
      <c r="X9">
        <f t="shared" si="7"/>
        <v>1.0301621270303805</v>
      </c>
      <c r="Y9">
        <f t="shared" si="7"/>
        <v>-0.20223859063431349</v>
      </c>
      <c r="Z9" t="s">
        <v>71</v>
      </c>
      <c r="AA9">
        <f>+ INTERCEPT(X7:X15,Y7:Y15)</f>
        <v>1.0319452759344716</v>
      </c>
    </row>
    <row r="10" spans="1:27">
      <c r="A10">
        <v>3.0960800000000002</v>
      </c>
      <c r="B10">
        <v>0.59299999999999997</v>
      </c>
      <c r="C10">
        <f t="shared" si="4"/>
        <v>1.1301367951869208</v>
      </c>
      <c r="D10">
        <f t="shared" si="4"/>
        <v>-0.5225608799844117</v>
      </c>
      <c r="H10">
        <v>2.971919999999999</v>
      </c>
      <c r="I10">
        <v>0.93</v>
      </c>
      <c r="J10">
        <f t="shared" si="5"/>
        <v>1.0892082085928154</v>
      </c>
      <c r="K10">
        <f t="shared" si="5"/>
        <v>-7.2570692834835374E-2</v>
      </c>
      <c r="O10">
        <v>3.2560000000000011</v>
      </c>
      <c r="P10">
        <v>1.1000000000000001</v>
      </c>
      <c r="Q10">
        <f t="shared" si="6"/>
        <v>1.1804994481402942</v>
      </c>
      <c r="R10">
        <f t="shared" si="6"/>
        <v>9.5310179804324935E-2</v>
      </c>
      <c r="V10">
        <v>2.79</v>
      </c>
      <c r="W10">
        <v>0.81699999999999995</v>
      </c>
      <c r="X10">
        <f t="shared" si="7"/>
        <v>1.0260415958332743</v>
      </c>
      <c r="Y10">
        <f t="shared" si="7"/>
        <v>-0.20211618412213422</v>
      </c>
    </row>
    <row r="11" spans="1:27">
      <c r="A11">
        <v>3.2021599999999997</v>
      </c>
      <c r="B11">
        <v>0.72499999999999998</v>
      </c>
      <c r="C11">
        <f t="shared" si="4"/>
        <v>1.1638255820956445</v>
      </c>
      <c r="D11">
        <f t="shared" si="4"/>
        <v>-0.32158362412746233</v>
      </c>
      <c r="E11" t="s">
        <v>72</v>
      </c>
      <c r="H11">
        <v>3.33</v>
      </c>
      <c r="I11">
        <v>0.78</v>
      </c>
      <c r="J11">
        <f t="shared" si="5"/>
        <v>1.2029723039923526</v>
      </c>
      <c r="K11">
        <f t="shared" si="5"/>
        <v>-0.24846135929849961</v>
      </c>
      <c r="L11" t="s">
        <v>73</v>
      </c>
      <c r="O11">
        <v>3.9964000000000004</v>
      </c>
      <c r="P11">
        <v>0.95</v>
      </c>
      <c r="Q11">
        <f t="shared" si="6"/>
        <v>1.3853939558767265</v>
      </c>
      <c r="R11">
        <f t="shared" si="6"/>
        <v>-5.1293294387550578E-2</v>
      </c>
      <c r="S11" t="s">
        <v>74</v>
      </c>
      <c r="V11">
        <v>4.9547999999999996</v>
      </c>
      <c r="W11">
        <v>0.79830000000000001</v>
      </c>
      <c r="X11">
        <f t="shared" si="7"/>
        <v>1.6003568036979077</v>
      </c>
      <c r="Y11">
        <f t="shared" si="7"/>
        <v>-0.22527081233038385</v>
      </c>
      <c r="Z11" t="s">
        <v>75</v>
      </c>
    </row>
    <row r="12" spans="1:27">
      <c r="A12">
        <v>3.8516000000000017</v>
      </c>
      <c r="B12">
        <v>0.94199999999999995</v>
      </c>
      <c r="C12">
        <f t="shared" si="4"/>
        <v>1.3484886463839922</v>
      </c>
      <c r="D12">
        <f t="shared" si="4"/>
        <v>-5.9750004405774049E-2</v>
      </c>
      <c r="H12">
        <v>2.0555999999999992</v>
      </c>
      <c r="I12">
        <v>0.78</v>
      </c>
      <c r="J12">
        <f t="shared" si="5"/>
        <v>0.72056777613593714</v>
      </c>
      <c r="K12">
        <f t="shared" si="5"/>
        <v>-0.24846135929849961</v>
      </c>
      <c r="O12">
        <v>1.7680000000000009</v>
      </c>
      <c r="P12">
        <v>0.62</v>
      </c>
      <c r="Q12">
        <f t="shared" si="6"/>
        <v>0.56984896421545217</v>
      </c>
      <c r="R12">
        <f t="shared" si="6"/>
        <v>-0.4780358009429998</v>
      </c>
      <c r="V12">
        <v>2.7302399999999993</v>
      </c>
      <c r="W12">
        <v>0.96840000000000004</v>
      </c>
      <c r="X12">
        <f t="shared" si="7"/>
        <v>1.0043895174207391</v>
      </c>
      <c r="Y12">
        <f t="shared" si="7"/>
        <v>-3.2110053918233586E-2</v>
      </c>
    </row>
    <row r="13" spans="1:27">
      <c r="A13">
        <v>3.98</v>
      </c>
      <c r="B13">
        <v>0.77800000000000002</v>
      </c>
      <c r="C13">
        <f t="shared" si="4"/>
        <v>1.3812818192963463</v>
      </c>
      <c r="D13">
        <f t="shared" si="4"/>
        <v>-0.25102875480374542</v>
      </c>
      <c r="E13" t="s">
        <v>76</v>
      </c>
      <c r="H13">
        <v>0.94199999999999995</v>
      </c>
      <c r="I13">
        <v>0.64</v>
      </c>
      <c r="J13">
        <f t="shared" si="5"/>
        <v>-5.9750004405774049E-2</v>
      </c>
      <c r="K13">
        <f t="shared" si="5"/>
        <v>-0.44628710262841947</v>
      </c>
      <c r="L13" t="s">
        <v>77</v>
      </c>
      <c r="O13">
        <v>1.7915200000000004</v>
      </c>
      <c r="P13">
        <v>0.94</v>
      </c>
      <c r="Q13">
        <f t="shared" si="6"/>
        <v>0.58306442152975002</v>
      </c>
      <c r="R13">
        <f t="shared" si="6"/>
        <v>-6.1875403718087529E-2</v>
      </c>
      <c r="S13" t="s">
        <v>78</v>
      </c>
      <c r="V13">
        <v>1.75248</v>
      </c>
      <c r="W13">
        <v>0.71779999999999999</v>
      </c>
      <c r="X13">
        <f t="shared" si="7"/>
        <v>0.56103192759329934</v>
      </c>
      <c r="Y13">
        <f t="shared" si="7"/>
        <v>-0.33156430026863015</v>
      </c>
      <c r="Z13" t="s">
        <v>79</v>
      </c>
    </row>
    <row r="14" spans="1:27">
      <c r="A14">
        <v>4.2303200000000007</v>
      </c>
      <c r="B14">
        <v>1.27</v>
      </c>
      <c r="C14">
        <f t="shared" si="4"/>
        <v>1.4422776403150641</v>
      </c>
      <c r="D14">
        <f t="shared" si="4"/>
        <v>0.23901690047049992</v>
      </c>
      <c r="H14">
        <v>2.8495199999999974</v>
      </c>
      <c r="I14">
        <v>0.74</v>
      </c>
      <c r="J14">
        <f t="shared" si="5"/>
        <v>1.0471505590435086</v>
      </c>
      <c r="K14">
        <f t="shared" si="5"/>
        <v>-0.30110509278392161</v>
      </c>
      <c r="O14">
        <v>1.5577600000000007</v>
      </c>
      <c r="P14">
        <v>0.36</v>
      </c>
      <c r="Q14">
        <f t="shared" si="6"/>
        <v>0.44324889193691636</v>
      </c>
      <c r="R14">
        <f t="shared" si="6"/>
        <v>-1.0216512475319814</v>
      </c>
      <c r="V14">
        <v>2.1240000000000006</v>
      </c>
      <c r="W14">
        <v>0.78790000000000004</v>
      </c>
      <c r="X14">
        <f t="shared" si="7"/>
        <v>0.75330110337969269</v>
      </c>
      <c r="Y14">
        <f t="shared" si="7"/>
        <v>-0.2383841007304946</v>
      </c>
    </row>
    <row r="15" spans="1:27">
      <c r="A15">
        <v>4.8989600000000006</v>
      </c>
      <c r="B15">
        <v>1.145</v>
      </c>
      <c r="C15">
        <f t="shared" si="4"/>
        <v>1.5890229376914859</v>
      </c>
      <c r="D15">
        <f t="shared" si="4"/>
        <v>0.13540463700620298</v>
      </c>
      <c r="H15">
        <v>0.68807999999999914</v>
      </c>
      <c r="I15">
        <v>0.48</v>
      </c>
      <c r="J15">
        <f t="shared" si="5"/>
        <v>-0.37385016873891425</v>
      </c>
      <c r="K15">
        <f t="shared" si="5"/>
        <v>-0.73396917508020043</v>
      </c>
      <c r="O15">
        <v>1.0278400000000005</v>
      </c>
      <c r="P15">
        <v>0.6</v>
      </c>
      <c r="Q15">
        <f t="shared" si="6"/>
        <v>2.7459512896150937E-2</v>
      </c>
      <c r="R15">
        <f t="shared" si="6"/>
        <v>-0.51082562376599072</v>
      </c>
      <c r="V15">
        <v>1.2403199999999999</v>
      </c>
      <c r="W15">
        <v>0.78049999999999997</v>
      </c>
      <c r="X15">
        <f t="shared" si="7"/>
        <v>0.21536941084015487</v>
      </c>
      <c r="Y15">
        <f t="shared" si="7"/>
        <v>-0.24782053902665033</v>
      </c>
    </row>
    <row r="18" spans="1:27">
      <c r="A18">
        <v>3.1730133333333339</v>
      </c>
      <c r="B18">
        <v>0.83922222222222209</v>
      </c>
      <c r="H18">
        <v>2.5456799999999991</v>
      </c>
      <c r="I18">
        <v>0.79333333333333345</v>
      </c>
      <c r="O18">
        <v>2.4004000000000012</v>
      </c>
      <c r="P18">
        <v>0.83111111111111102</v>
      </c>
      <c r="V18">
        <v>2.6217333333333328</v>
      </c>
      <c r="W18">
        <v>0.84687777777777784</v>
      </c>
    </row>
    <row r="24" spans="1:27">
      <c r="B24" t="s">
        <v>80</v>
      </c>
      <c r="P24" t="s">
        <v>81</v>
      </c>
    </row>
    <row r="25" spans="1:27">
      <c r="B25" t="s">
        <v>16</v>
      </c>
      <c r="I25" t="s">
        <v>16</v>
      </c>
      <c r="P25" t="s">
        <v>16</v>
      </c>
      <c r="W25" t="s">
        <v>16</v>
      </c>
    </row>
    <row r="26" spans="1:27">
      <c r="A26" t="s">
        <v>30</v>
      </c>
      <c r="B26" t="s">
        <v>31</v>
      </c>
      <c r="C26" t="s">
        <v>67</v>
      </c>
      <c r="D26" t="s">
        <v>68</v>
      </c>
      <c r="H26" t="s">
        <v>30</v>
      </c>
      <c r="I26" t="s">
        <v>31</v>
      </c>
      <c r="J26" t="s">
        <v>67</v>
      </c>
      <c r="K26" t="s">
        <v>68</v>
      </c>
      <c r="O26" t="s">
        <v>30</v>
      </c>
      <c r="P26" t="s">
        <v>31</v>
      </c>
      <c r="Q26" t="s">
        <v>67</v>
      </c>
      <c r="R26" t="s">
        <v>68</v>
      </c>
      <c r="V26" t="s">
        <v>30</v>
      </c>
      <c r="W26" t="s">
        <v>31</v>
      </c>
      <c r="X26" t="s">
        <v>67</v>
      </c>
      <c r="Y26" t="s">
        <v>68</v>
      </c>
    </row>
    <row r="27" spans="1:27">
      <c r="A27">
        <v>3.3603999999999998</v>
      </c>
      <c r="B27">
        <v>1.27</v>
      </c>
      <c r="C27">
        <f t="shared" ref="C27:D27" si="8">+LN(A27)</f>
        <v>1.2120600145085549</v>
      </c>
      <c r="D27">
        <f t="shared" si="8"/>
        <v>0.23901690047049992</v>
      </c>
      <c r="E27" t="s">
        <v>69</v>
      </c>
      <c r="F27">
        <v>0.72658900000000004</v>
      </c>
      <c r="H27">
        <v>3.8555999999999999</v>
      </c>
      <c r="I27">
        <v>1.08</v>
      </c>
      <c r="J27">
        <f t="shared" ref="J27:K27" si="9">+LN(H27)</f>
        <v>1.3495266369276759</v>
      </c>
      <c r="K27">
        <f t="shared" si="9"/>
        <v>7.6961041136128394E-2</v>
      </c>
      <c r="L27" t="s">
        <v>69</v>
      </c>
      <c r="M27">
        <f>RSQ(J27:J35,K27:K35)</f>
        <v>0.74386624934192835</v>
      </c>
      <c r="O27">
        <v>3.4000799999999991</v>
      </c>
      <c r="P27">
        <v>1.19</v>
      </c>
      <c r="Q27">
        <f t="shared" ref="Q27:R27" si="10">+LN(O27)</f>
        <v>1.2237989607570678</v>
      </c>
      <c r="R27">
        <f t="shared" si="10"/>
        <v>0.17395330712343798</v>
      </c>
      <c r="S27" t="s">
        <v>69</v>
      </c>
      <c r="T27">
        <v>0.73689499999999997</v>
      </c>
      <c r="V27">
        <v>4.2575199999999995</v>
      </c>
      <c r="W27">
        <v>1.0780000000000001</v>
      </c>
      <c r="X27">
        <f t="shared" ref="X27:Y27" si="11">+LN(V27)</f>
        <v>1.4486868311361565</v>
      </c>
      <c r="Y27">
        <f t="shared" si="11"/>
        <v>7.5107472486805479E-2</v>
      </c>
      <c r="Z27" t="s">
        <v>69</v>
      </c>
      <c r="AA27" s="5">
        <v>0.8165985</v>
      </c>
    </row>
    <row r="28" spans="1:27">
      <c r="A28">
        <v>2.8573600000000003</v>
      </c>
      <c r="B28">
        <v>1.145</v>
      </c>
      <c r="C28">
        <f t="shared" ref="C28:D35" si="12">+LN(A28)</f>
        <v>1.0498981216108241</v>
      </c>
      <c r="D28">
        <f t="shared" si="12"/>
        <v>0.13540463700620298</v>
      </c>
      <c r="E28" t="s">
        <v>70</v>
      </c>
      <c r="F28">
        <f>SLOPE(C27:C35,D27:D35)</f>
        <v>0.86417666484919298</v>
      </c>
      <c r="H28">
        <v>2.7035999999999998</v>
      </c>
      <c r="I28">
        <v>0.82</v>
      </c>
      <c r="J28">
        <f t="shared" ref="J28:K35" si="13">+LN(H28)</f>
        <v>0.99458421824406196</v>
      </c>
      <c r="K28">
        <f t="shared" si="13"/>
        <v>-0.19845093872383832</v>
      </c>
      <c r="L28" t="s">
        <v>70</v>
      </c>
      <c r="M28">
        <f>SLOPE(J27:J35,K27:K35)</f>
        <v>2.3974715689620862</v>
      </c>
      <c r="O28">
        <v>2.9253599999999995</v>
      </c>
      <c r="P28">
        <v>1.08</v>
      </c>
      <c r="Q28">
        <f t="shared" ref="Q28:R35" si="14">+LN(O28)</f>
        <v>1.0734175500335534</v>
      </c>
      <c r="R28">
        <f t="shared" si="14"/>
        <v>7.6961041136128394E-2</v>
      </c>
      <c r="S28" t="s">
        <v>70</v>
      </c>
      <c r="T28">
        <f>SLOPE(Q27:Q35,R27:R35)</f>
        <v>1.0383392976781474</v>
      </c>
      <c r="V28">
        <v>3.0301599999999991</v>
      </c>
      <c r="W28">
        <v>0.85709999999999997</v>
      </c>
      <c r="X28">
        <f t="shared" ref="X28:Y35" si="15">+LN(V28)</f>
        <v>1.1086154234076557</v>
      </c>
      <c r="Y28">
        <f t="shared" si="15"/>
        <v>-0.15420068107730001</v>
      </c>
      <c r="Z28" t="s">
        <v>70</v>
      </c>
      <c r="AA28">
        <f>SLOPE(X27:X35,Y27:Y35)</f>
        <v>2.3052030886634274</v>
      </c>
    </row>
    <row r="29" spans="1:27">
      <c r="A29">
        <v>3.3028000000000008</v>
      </c>
      <c r="B29">
        <v>0.94199999999999995</v>
      </c>
      <c r="C29">
        <f t="shared" si="12"/>
        <v>1.1947705935611368</v>
      </c>
      <c r="D29">
        <f t="shared" si="12"/>
        <v>-5.9750004405774049E-2</v>
      </c>
      <c r="E29" t="s">
        <v>71</v>
      </c>
      <c r="F29">
        <f>+ INTERCEPT(C27:C35,D27:D35)</f>
        <v>0.99936529154910669</v>
      </c>
      <c r="H29">
        <v>3.4466400000000021</v>
      </c>
      <c r="I29">
        <v>0.89</v>
      </c>
      <c r="J29">
        <f t="shared" si="13"/>
        <v>1.2373998434383366</v>
      </c>
      <c r="K29">
        <f t="shared" si="13"/>
        <v>-0.11653381625595151</v>
      </c>
      <c r="L29" t="s">
        <v>71</v>
      </c>
      <c r="M29">
        <f>+ INTERCEPT(J27:J35,K27:K35)</f>
        <v>1.4428606086086866</v>
      </c>
      <c r="O29">
        <v>2.3279999999999994</v>
      </c>
      <c r="P29">
        <v>0.64</v>
      </c>
      <c r="Q29">
        <f t="shared" si="14"/>
        <v>0.84500952986919109</v>
      </c>
      <c r="R29">
        <f t="shared" si="14"/>
        <v>-0.44628710262841947</v>
      </c>
      <c r="S29" t="s">
        <v>71</v>
      </c>
      <c r="T29">
        <f>+ INTERCEPT(Q27:Q35,R27:R35)</f>
        <v>0.88630949465526521</v>
      </c>
      <c r="V29">
        <v>2.5323999999999987</v>
      </c>
      <c r="W29">
        <v>0.81689999999999996</v>
      </c>
      <c r="X29">
        <f t="shared" si="15"/>
        <v>0.92916746968783392</v>
      </c>
      <c r="Y29">
        <f t="shared" si="15"/>
        <v>-0.20223859063431349</v>
      </c>
      <c r="Z29" t="s">
        <v>71</v>
      </c>
      <c r="AA29">
        <f>+ INTERCEPT(X27:X35,Y27:Y35)</f>
        <v>0.98476982851093797</v>
      </c>
    </row>
    <row r="30" spans="1:27">
      <c r="A30">
        <v>2.2098400000000002</v>
      </c>
      <c r="B30">
        <v>0.72499999999999998</v>
      </c>
      <c r="C30">
        <f t="shared" si="12"/>
        <v>0.7929201147187408</v>
      </c>
      <c r="D30">
        <f t="shared" si="12"/>
        <v>-0.32158362412746233</v>
      </c>
      <c r="H30">
        <v>3.4394400000000003</v>
      </c>
      <c r="I30">
        <v>0.93</v>
      </c>
      <c r="J30">
        <f t="shared" si="13"/>
        <v>1.2353086674357887</v>
      </c>
      <c r="K30">
        <f t="shared" si="13"/>
        <v>-7.2570692834835374E-2</v>
      </c>
      <c r="O30">
        <v>3.0059999999999993</v>
      </c>
      <c r="P30">
        <v>1.1000000000000001</v>
      </c>
      <c r="Q30">
        <f t="shared" si="14"/>
        <v>1.1006102913307825</v>
      </c>
      <c r="R30">
        <f t="shared" si="14"/>
        <v>9.5310179804324935E-2</v>
      </c>
      <c r="V30">
        <v>1.3419999999999996</v>
      </c>
      <c r="W30">
        <v>0.81699999999999995</v>
      </c>
      <c r="X30">
        <f t="shared" si="15"/>
        <v>0.29416103854948977</v>
      </c>
      <c r="Y30">
        <f t="shared" si="15"/>
        <v>-0.20211618412213422</v>
      </c>
    </row>
    <row r="31" spans="1:27">
      <c r="A31">
        <v>3.04</v>
      </c>
      <c r="B31">
        <v>0.77800000000000002</v>
      </c>
      <c r="C31">
        <f t="shared" si="12"/>
        <v>1.1118575154181303</v>
      </c>
      <c r="D31">
        <f t="shared" si="12"/>
        <v>-0.25102875480374542</v>
      </c>
      <c r="E31" t="s">
        <v>82</v>
      </c>
      <c r="H31">
        <v>4.62</v>
      </c>
      <c r="I31">
        <v>0.78</v>
      </c>
      <c r="J31">
        <f t="shared" si="13"/>
        <v>1.5303947050936475</v>
      </c>
      <c r="K31">
        <f t="shared" si="13"/>
        <v>-0.24846135929849961</v>
      </c>
      <c r="L31" t="s">
        <v>83</v>
      </c>
      <c r="O31">
        <v>3.0398399999999999</v>
      </c>
      <c r="P31">
        <v>0.95</v>
      </c>
      <c r="Q31">
        <f t="shared" si="14"/>
        <v>1.1118048824540927</v>
      </c>
      <c r="R31">
        <f t="shared" si="14"/>
        <v>-5.1293294387550578E-2</v>
      </c>
      <c r="S31" t="s">
        <v>84</v>
      </c>
      <c r="V31">
        <v>3.7803999999999989</v>
      </c>
      <c r="W31">
        <v>0.79830000000000001</v>
      </c>
      <c r="X31">
        <f t="shared" si="15"/>
        <v>1.3298298241387636</v>
      </c>
      <c r="Y31">
        <f t="shared" si="15"/>
        <v>-0.22527081233038385</v>
      </c>
      <c r="Z31" t="s">
        <v>85</v>
      </c>
    </row>
    <row r="32" spans="1:27">
      <c r="A32">
        <v>1.5148000000000001</v>
      </c>
      <c r="B32">
        <v>0.77100000000000002</v>
      </c>
      <c r="C32">
        <f t="shared" si="12"/>
        <v>0.41528341704550281</v>
      </c>
      <c r="D32">
        <f t="shared" si="12"/>
        <v>-0.26006690541880756</v>
      </c>
      <c r="H32">
        <v>2.0724000000000009</v>
      </c>
      <c r="I32">
        <v>0.78</v>
      </c>
      <c r="J32">
        <f t="shared" si="13"/>
        <v>0.72870735595849656</v>
      </c>
      <c r="K32">
        <f t="shared" si="13"/>
        <v>-0.24846135929849961</v>
      </c>
      <c r="O32">
        <v>1.6850399999999988</v>
      </c>
      <c r="P32">
        <v>0.62</v>
      </c>
      <c r="Q32">
        <f t="shared" si="14"/>
        <v>0.52178930239496535</v>
      </c>
      <c r="R32">
        <f t="shared" si="14"/>
        <v>-0.4780358009429998</v>
      </c>
      <c r="V32">
        <v>1.0635999999999992</v>
      </c>
      <c r="W32">
        <v>0.96840000000000004</v>
      </c>
      <c r="X32">
        <f t="shared" si="15"/>
        <v>6.1659380386726956E-2</v>
      </c>
      <c r="Y32">
        <f t="shared" si="15"/>
        <v>-3.2110053918233586E-2</v>
      </c>
    </row>
    <row r="33" spans="1:27">
      <c r="A33">
        <v>1.9635999999999991</v>
      </c>
      <c r="B33">
        <v>0.66</v>
      </c>
      <c r="C33">
        <f t="shared" si="12"/>
        <v>0.67477952320175993</v>
      </c>
      <c r="D33">
        <f t="shared" si="12"/>
        <v>-0.41551544396166579</v>
      </c>
      <c r="E33" t="s">
        <v>86</v>
      </c>
      <c r="H33">
        <v>1.92744</v>
      </c>
      <c r="I33">
        <v>0.64</v>
      </c>
      <c r="J33">
        <f t="shared" si="13"/>
        <v>0.65619269756617937</v>
      </c>
      <c r="K33">
        <f t="shared" si="13"/>
        <v>-0.44628710262841947</v>
      </c>
      <c r="L33" t="s">
        <v>87</v>
      </c>
      <c r="O33">
        <v>1.5203999999999993</v>
      </c>
      <c r="P33">
        <v>0.94</v>
      </c>
      <c r="Q33">
        <f t="shared" si="14"/>
        <v>0.41897345813295617</v>
      </c>
      <c r="R33">
        <f t="shared" si="14"/>
        <v>-6.1875403718087529E-2</v>
      </c>
      <c r="S33" t="s">
        <v>88</v>
      </c>
      <c r="V33">
        <v>1.0403199999999986</v>
      </c>
      <c r="W33">
        <v>0.71779999999999999</v>
      </c>
      <c r="X33">
        <f t="shared" si="15"/>
        <v>3.9528358133402101E-2</v>
      </c>
      <c r="Y33">
        <f t="shared" si="15"/>
        <v>-0.33156430026863015</v>
      </c>
      <c r="Z33" t="s">
        <v>89</v>
      </c>
    </row>
    <row r="34" spans="1:27">
      <c r="A34">
        <v>2.7690399999999999</v>
      </c>
      <c r="B34">
        <v>0.59299999999999997</v>
      </c>
      <c r="C34">
        <f t="shared" si="12"/>
        <v>1.0185006897327358</v>
      </c>
      <c r="D34">
        <f t="shared" si="12"/>
        <v>-0.5225608799844117</v>
      </c>
      <c r="H34">
        <v>1.3932000000000018</v>
      </c>
      <c r="I34">
        <v>0.74</v>
      </c>
      <c r="J34">
        <f t="shared" si="13"/>
        <v>0.33160325950971037</v>
      </c>
      <c r="K34">
        <f t="shared" si="13"/>
        <v>-0.30110509278392161</v>
      </c>
      <c r="O34">
        <v>1.2895199999999998</v>
      </c>
      <c r="P34">
        <v>0.36</v>
      </c>
      <c r="Q34">
        <f t="shared" si="14"/>
        <v>0.25427005610653852</v>
      </c>
      <c r="R34">
        <f t="shared" si="14"/>
        <v>-1.0216512475319814</v>
      </c>
      <c r="V34">
        <v>1.7727999999999993</v>
      </c>
      <c r="W34">
        <v>0.78790000000000004</v>
      </c>
      <c r="X34">
        <f t="shared" si="15"/>
        <v>0.5725602175708272</v>
      </c>
      <c r="Y34">
        <f t="shared" si="15"/>
        <v>-0.2383841007304946</v>
      </c>
    </row>
    <row r="35" spans="1:27">
      <c r="A35">
        <v>0.92175999999999947</v>
      </c>
      <c r="B35">
        <v>0.66900000000000004</v>
      </c>
      <c r="C35">
        <f t="shared" si="12"/>
        <v>-8.1470392998064647E-2</v>
      </c>
      <c r="D35">
        <f t="shared" si="12"/>
        <v>-0.40197121885390852</v>
      </c>
      <c r="H35">
        <v>0.56808000000000125</v>
      </c>
      <c r="I35">
        <v>0.48</v>
      </c>
      <c r="J35">
        <f t="shared" si="13"/>
        <v>-0.56549302510829669</v>
      </c>
      <c r="K35">
        <f t="shared" si="13"/>
        <v>-0.73396917508020043</v>
      </c>
      <c r="O35">
        <v>0.41399999999999992</v>
      </c>
      <c r="P35">
        <v>0.6</v>
      </c>
      <c r="Q35">
        <f t="shared" si="14"/>
        <v>-0.88188930515682284</v>
      </c>
      <c r="R35">
        <f t="shared" si="14"/>
        <v>-0.51082562376599072</v>
      </c>
      <c r="V35">
        <v>0.59799999999999986</v>
      </c>
      <c r="W35">
        <v>0.78049999999999997</v>
      </c>
      <c r="X35">
        <f t="shared" si="15"/>
        <v>-0.51416452503150556</v>
      </c>
      <c r="Y35">
        <f t="shared" si="15"/>
        <v>-0.24782053902665033</v>
      </c>
    </row>
    <row r="38" spans="1:27">
      <c r="A38">
        <v>2.4377333333333335</v>
      </c>
      <c r="B38">
        <v>0.83922222222222209</v>
      </c>
      <c r="H38">
        <v>2.6696000000000009</v>
      </c>
      <c r="I38">
        <v>0.79333333333333345</v>
      </c>
      <c r="O38">
        <v>2.1786933333333329</v>
      </c>
      <c r="P38">
        <v>0.83111111111111102</v>
      </c>
      <c r="V38">
        <v>2.1574666666666658</v>
      </c>
      <c r="W38">
        <v>0.84687777777777784</v>
      </c>
    </row>
    <row r="43" spans="1:27">
      <c r="B43" t="s">
        <v>90</v>
      </c>
      <c r="P43" t="s">
        <v>91</v>
      </c>
    </row>
    <row r="44" spans="1:27">
      <c r="B44" t="s">
        <v>16</v>
      </c>
      <c r="I44" t="s">
        <v>16</v>
      </c>
      <c r="P44" t="s">
        <v>16</v>
      </c>
      <c r="W44" t="s">
        <v>16</v>
      </c>
    </row>
    <row r="45" spans="1:27">
      <c r="A45" t="s">
        <v>30</v>
      </c>
      <c r="B45" t="s">
        <v>31</v>
      </c>
      <c r="C45" t="s">
        <v>67</v>
      </c>
      <c r="D45" t="s">
        <v>68</v>
      </c>
      <c r="H45" t="s">
        <v>30</v>
      </c>
      <c r="I45" t="s">
        <v>31</v>
      </c>
      <c r="J45" t="s">
        <v>67</v>
      </c>
      <c r="K45" t="s">
        <v>68</v>
      </c>
      <c r="O45" t="s">
        <v>30</v>
      </c>
      <c r="P45" t="s">
        <v>31</v>
      </c>
      <c r="Q45" t="s">
        <v>67</v>
      </c>
      <c r="R45" t="s">
        <v>68</v>
      </c>
      <c r="V45" t="s">
        <v>30</v>
      </c>
      <c r="W45" t="s">
        <v>31</v>
      </c>
      <c r="X45" t="s">
        <v>67</v>
      </c>
      <c r="Y45" t="s">
        <v>68</v>
      </c>
    </row>
    <row r="46" spans="1:27">
      <c r="A46">
        <v>3.9265600000000003</v>
      </c>
      <c r="B46">
        <v>1.27</v>
      </c>
      <c r="C46">
        <f t="shared" ref="C46:D46" si="16">+LN(A46)</f>
        <v>1.3677637245004559</v>
      </c>
      <c r="D46">
        <f t="shared" si="16"/>
        <v>0.23901690047049992</v>
      </c>
      <c r="E46" t="s">
        <v>69</v>
      </c>
      <c r="F46">
        <v>0.87966580000000005</v>
      </c>
      <c r="H46">
        <v>4.2717600000000013</v>
      </c>
      <c r="I46">
        <v>1.08</v>
      </c>
      <c r="J46">
        <f t="shared" ref="J46:K46" si="17">+LN(H46)</f>
        <v>1.4520259203044705</v>
      </c>
      <c r="K46">
        <f t="shared" si="17"/>
        <v>7.6961041136128394E-2</v>
      </c>
      <c r="L46" t="s">
        <v>69</v>
      </c>
      <c r="M46">
        <f>RSQ(J46:J54,K46:K54)</f>
        <v>0.65415947227398874</v>
      </c>
      <c r="O46">
        <v>4.9981600000000004</v>
      </c>
      <c r="P46">
        <v>1.19</v>
      </c>
      <c r="Q46">
        <f t="shared" ref="Q46:R46" si="18">+LN(O46)</f>
        <v>1.6090698447054839</v>
      </c>
      <c r="R46">
        <f t="shared" si="18"/>
        <v>0.17395330712343798</v>
      </c>
      <c r="S46" t="s">
        <v>69</v>
      </c>
      <c r="T46">
        <v>0.83650000000000002</v>
      </c>
      <c r="V46">
        <v>4.0916000000000015</v>
      </c>
      <c r="W46">
        <v>1.0780000000000001</v>
      </c>
      <c r="X46">
        <f t="shared" ref="X46:Y46" si="19">+LN(V46)</f>
        <v>1.4089360916007156</v>
      </c>
      <c r="Y46">
        <f t="shared" si="19"/>
        <v>7.5107472486805479E-2</v>
      </c>
      <c r="Z46" t="s">
        <v>69</v>
      </c>
      <c r="AA46" s="5">
        <v>0.79856324999999995</v>
      </c>
    </row>
    <row r="47" spans="1:27">
      <c r="A47">
        <v>3.9951999999999996</v>
      </c>
      <c r="B47">
        <v>1.145</v>
      </c>
      <c r="C47">
        <f t="shared" ref="C47:D54" si="20">+LN(A47)</f>
        <v>1.3850936405433716</v>
      </c>
      <c r="D47">
        <f t="shared" si="20"/>
        <v>0.13540463700620298</v>
      </c>
      <c r="E47" t="s">
        <v>70</v>
      </c>
      <c r="F47">
        <f>SLOPE(C46:C54,D46:D54)</f>
        <v>0.73798778750550054</v>
      </c>
      <c r="H47">
        <v>4.0207199999999998</v>
      </c>
      <c r="I47">
        <v>0.82</v>
      </c>
      <c r="J47">
        <f t="shared" ref="J47:K54" si="21">+LN(H47)</f>
        <v>1.3914609910712494</v>
      </c>
      <c r="K47">
        <f t="shared" si="21"/>
        <v>-0.19845093872383832</v>
      </c>
      <c r="L47" t="s">
        <v>70</v>
      </c>
      <c r="M47">
        <f>SLOPE(J46:J54,K46:K54)</f>
        <v>2.010441335717156</v>
      </c>
      <c r="O47">
        <v>3.2466399999999997</v>
      </c>
      <c r="P47">
        <v>1.08</v>
      </c>
      <c r="Q47">
        <f t="shared" ref="Q47:R54" si="22">+LN(O47)</f>
        <v>1.1776206154002411</v>
      </c>
      <c r="R47">
        <f t="shared" si="22"/>
        <v>7.6961041136128394E-2</v>
      </c>
      <c r="S47" t="s">
        <v>70</v>
      </c>
      <c r="T47">
        <f>SLOPE(Q46:Q54,R46:R54)</f>
        <v>0.74700260916339334</v>
      </c>
      <c r="V47">
        <v>3.2736799999999997</v>
      </c>
      <c r="W47">
        <v>0.85709999999999997</v>
      </c>
      <c r="X47">
        <f t="shared" ref="X47:Y54" si="23">+LN(V47)</f>
        <v>1.1859147344042327</v>
      </c>
      <c r="Y47">
        <f t="shared" si="23"/>
        <v>-0.15420068107730001</v>
      </c>
      <c r="Z47" t="s">
        <v>70</v>
      </c>
      <c r="AA47">
        <f>SLOPE(X46:X54,Y46:Y54)</f>
        <v>3.0661644823461693</v>
      </c>
    </row>
    <row r="48" spans="1:27">
      <c r="A48">
        <v>3.7379200000000017</v>
      </c>
      <c r="B48">
        <v>0.94199999999999995</v>
      </c>
      <c r="C48">
        <f t="shared" si="20"/>
        <v>1.3185293069851947</v>
      </c>
      <c r="D48">
        <f t="shared" si="20"/>
        <v>-5.9750004405774049E-2</v>
      </c>
      <c r="E48" t="s">
        <v>71</v>
      </c>
      <c r="F48">
        <f>+ INTERCEPT(C46:C54,D46:D54)</f>
        <v>1.2443759466037509</v>
      </c>
      <c r="H48">
        <v>3.7576800000000024</v>
      </c>
      <c r="I48">
        <v>0.89</v>
      </c>
      <c r="J48">
        <f t="shared" si="21"/>
        <v>1.3238017456892408</v>
      </c>
      <c r="K48">
        <f t="shared" si="21"/>
        <v>-0.11653381625595151</v>
      </c>
      <c r="L48" t="s">
        <v>71</v>
      </c>
      <c r="M48">
        <f>+ INTERCEPT(J46:J54,K46:K54)</f>
        <v>1.4860646235391539</v>
      </c>
      <c r="O48">
        <v>3.126399999999999</v>
      </c>
      <c r="P48">
        <v>0.64</v>
      </c>
      <c r="Q48">
        <f t="shared" si="22"/>
        <v>1.1398821828663261</v>
      </c>
      <c r="R48">
        <f t="shared" si="22"/>
        <v>-0.44628710262841947</v>
      </c>
      <c r="S48" t="s">
        <v>71</v>
      </c>
      <c r="T48">
        <f>+ INTERCEPT(Q46:Q54,R46:R54)</f>
        <v>1.1078253225876922</v>
      </c>
      <c r="V48">
        <v>1.5399200000000004</v>
      </c>
      <c r="W48">
        <v>0.81689999999999996</v>
      </c>
      <c r="X48">
        <f t="shared" si="23"/>
        <v>0.43173046702424323</v>
      </c>
      <c r="Y48">
        <f t="shared" si="23"/>
        <v>-0.20223859063431349</v>
      </c>
      <c r="Z48" t="s">
        <v>71</v>
      </c>
      <c r="AA48">
        <f>+ INTERCEPT(X46:X54,Y46:Y54)</f>
        <v>1.1899814992927173</v>
      </c>
    </row>
    <row r="49" spans="1:26">
      <c r="A49">
        <v>2.9963199999999999</v>
      </c>
      <c r="B49">
        <v>0.72499999999999998</v>
      </c>
      <c r="C49">
        <f t="shared" si="20"/>
        <v>1.0973848690300612</v>
      </c>
      <c r="D49">
        <f t="shared" si="20"/>
        <v>-0.32158362412746233</v>
      </c>
      <c r="H49">
        <v>3.34152</v>
      </c>
      <c r="I49">
        <v>0.93</v>
      </c>
      <c r="J49">
        <f t="shared" si="21"/>
        <v>1.2064257932870026</v>
      </c>
      <c r="K49">
        <f t="shared" si="21"/>
        <v>-7.2570692834835374E-2</v>
      </c>
      <c r="O49">
        <v>3.141999999999999</v>
      </c>
      <c r="P49">
        <v>1.1000000000000001</v>
      </c>
      <c r="Q49">
        <f t="shared" si="22"/>
        <v>1.1448595398334291</v>
      </c>
      <c r="R49">
        <f t="shared" si="22"/>
        <v>9.5310179804324935E-2</v>
      </c>
      <c r="V49">
        <v>1.7540000000000004</v>
      </c>
      <c r="W49">
        <v>0.81699999999999995</v>
      </c>
      <c r="X49">
        <f t="shared" si="23"/>
        <v>0.5618988939499916</v>
      </c>
      <c r="Y49">
        <f t="shared" si="23"/>
        <v>-0.20211618412213422</v>
      </c>
    </row>
    <row r="50" spans="1:26">
      <c r="A50">
        <v>3.46</v>
      </c>
      <c r="B50">
        <v>0.77800000000000002</v>
      </c>
      <c r="C50">
        <f t="shared" si="20"/>
        <v>1.2412685890696329</v>
      </c>
      <c r="D50">
        <f t="shared" si="20"/>
        <v>-0.25102875480374542</v>
      </c>
      <c r="E50" t="s">
        <v>92</v>
      </c>
      <c r="H50">
        <v>4.47</v>
      </c>
      <c r="I50">
        <v>0.78</v>
      </c>
      <c r="J50">
        <f t="shared" si="21"/>
        <v>1.4973884086254774</v>
      </c>
      <c r="K50">
        <f t="shared" si="21"/>
        <v>-0.24846135929849961</v>
      </c>
      <c r="L50" t="s">
        <v>93</v>
      </c>
      <c r="O50">
        <v>3.93784</v>
      </c>
      <c r="P50">
        <v>0.95</v>
      </c>
      <c r="Q50">
        <f t="shared" si="22"/>
        <v>1.3706323496302226</v>
      </c>
      <c r="R50">
        <f t="shared" si="22"/>
        <v>-5.1293294387550578E-2</v>
      </c>
      <c r="S50" t="s">
        <v>94</v>
      </c>
      <c r="V50">
        <v>3.942800000000001</v>
      </c>
      <c r="W50">
        <v>0.79830000000000001</v>
      </c>
      <c r="X50">
        <f t="shared" si="23"/>
        <v>1.371891130809147</v>
      </c>
      <c r="Y50">
        <f t="shared" si="23"/>
        <v>-0.22527081233038385</v>
      </c>
      <c r="Z50" t="s">
        <v>95</v>
      </c>
    </row>
    <row r="51" spans="1:26">
      <c r="A51">
        <v>2.6907999999999994</v>
      </c>
      <c r="B51">
        <v>0.77100000000000002</v>
      </c>
      <c r="C51">
        <f t="shared" si="20"/>
        <v>0.98983854716931341</v>
      </c>
      <c r="D51">
        <f t="shared" si="20"/>
        <v>-0.26006690541880756</v>
      </c>
      <c r="H51">
        <v>2.0724000000000009</v>
      </c>
      <c r="I51">
        <v>0.78</v>
      </c>
      <c r="J51">
        <f t="shared" si="21"/>
        <v>0.72870735595849656</v>
      </c>
      <c r="K51">
        <f t="shared" si="21"/>
        <v>-0.24846135929849961</v>
      </c>
      <c r="O51">
        <v>2.2213600000000002</v>
      </c>
      <c r="P51">
        <v>0.62</v>
      </c>
      <c r="Q51">
        <f t="shared" si="22"/>
        <v>0.79811962092629574</v>
      </c>
      <c r="R51">
        <f t="shared" si="22"/>
        <v>-0.4780358009429998</v>
      </c>
      <c r="V51">
        <v>1.8548000000000009</v>
      </c>
      <c r="W51">
        <v>0.96840000000000004</v>
      </c>
      <c r="X51">
        <f t="shared" si="23"/>
        <v>0.61777687353516919</v>
      </c>
      <c r="Y51">
        <f t="shared" si="23"/>
        <v>-3.2110053918233586E-2</v>
      </c>
    </row>
    <row r="52" spans="1:26">
      <c r="A52">
        <v>2.2547199999999989</v>
      </c>
      <c r="B52">
        <v>0.66</v>
      </c>
      <c r="C52">
        <f t="shared" si="20"/>
        <v>0.81302579673068065</v>
      </c>
      <c r="D52">
        <f t="shared" si="20"/>
        <v>-0.41551544396166579</v>
      </c>
      <c r="E52" t="s">
        <v>96</v>
      </c>
      <c r="H52">
        <v>0.96312000000000109</v>
      </c>
      <c r="I52">
        <v>0.64</v>
      </c>
      <c r="J52">
        <f t="shared" si="21"/>
        <v>-3.7577264355364945E-2</v>
      </c>
      <c r="K52">
        <f t="shared" si="21"/>
        <v>-0.44628710262841947</v>
      </c>
      <c r="L52" t="s">
        <v>97</v>
      </c>
      <c r="O52">
        <v>1.6804000000000001</v>
      </c>
      <c r="P52">
        <v>0.94</v>
      </c>
      <c r="Q52">
        <f t="shared" si="22"/>
        <v>0.51903186031309001</v>
      </c>
      <c r="R52">
        <f t="shared" si="22"/>
        <v>-6.1875403718087529E-2</v>
      </c>
      <c r="S52" t="s">
        <v>98</v>
      </c>
      <c r="V52">
        <v>0.69080000000000075</v>
      </c>
      <c r="W52">
        <v>0.71779999999999999</v>
      </c>
      <c r="X52">
        <f t="shared" si="23"/>
        <v>-0.36990493270961244</v>
      </c>
      <c r="Y52">
        <f t="shared" si="23"/>
        <v>-0.33156430026863015</v>
      </c>
      <c r="Z52" t="s">
        <v>99</v>
      </c>
    </row>
    <row r="53" spans="1:26">
      <c r="A53">
        <v>3.7542399999999994</v>
      </c>
      <c r="B53">
        <v>0.59299999999999997</v>
      </c>
      <c r="C53">
        <f t="shared" si="20"/>
        <v>1.3228858679268396</v>
      </c>
      <c r="D53">
        <f t="shared" si="20"/>
        <v>-0.5225608799844117</v>
      </c>
      <c r="H53">
        <v>2.980080000000001</v>
      </c>
      <c r="I53">
        <v>0.74</v>
      </c>
      <c r="J53">
        <f t="shared" si="21"/>
        <v>1.0919501457945595</v>
      </c>
      <c r="K53">
        <f t="shared" si="21"/>
        <v>-0.30110509278392161</v>
      </c>
      <c r="O53">
        <v>1.9333599999999995</v>
      </c>
      <c r="P53">
        <v>0.36</v>
      </c>
      <c r="Q53">
        <f t="shared" si="22"/>
        <v>0.65925942189258802</v>
      </c>
      <c r="R53">
        <f t="shared" si="22"/>
        <v>-1.0216512475319814</v>
      </c>
      <c r="V53">
        <v>2.2880000000000011</v>
      </c>
      <c r="W53">
        <v>0.78790000000000004</v>
      </c>
      <c r="X53">
        <f t="shared" si="23"/>
        <v>0.82767807351755196</v>
      </c>
      <c r="Y53">
        <f t="shared" si="23"/>
        <v>-0.2383841007304946</v>
      </c>
    </row>
    <row r="54" spans="1:26">
      <c r="A54">
        <v>1.3395999999999999</v>
      </c>
      <c r="B54">
        <v>0.66900000000000004</v>
      </c>
      <c r="C54">
        <f t="shared" si="20"/>
        <v>0.2923710619379124</v>
      </c>
      <c r="D54">
        <f t="shared" si="20"/>
        <v>-0.40197121885390852</v>
      </c>
      <c r="H54">
        <v>1.1260800000000011</v>
      </c>
      <c r="I54">
        <v>0.48</v>
      </c>
      <c r="J54">
        <f t="shared" si="21"/>
        <v>0.11874257515108425</v>
      </c>
      <c r="K54">
        <f t="shared" si="21"/>
        <v>-0.73396917508020043</v>
      </c>
      <c r="O54">
        <v>0.89655999999999914</v>
      </c>
      <c r="P54">
        <v>0.6</v>
      </c>
      <c r="Q54">
        <f t="shared" si="22"/>
        <v>-0.10919006123836547</v>
      </c>
      <c r="R54">
        <f t="shared" si="22"/>
        <v>-0.51082562376599072</v>
      </c>
      <c r="V54">
        <v>0.90032000000000068</v>
      </c>
      <c r="W54">
        <v>0.78049999999999997</v>
      </c>
      <c r="X54">
        <f t="shared" si="23"/>
        <v>-0.10500502329716745</v>
      </c>
      <c r="Y54">
        <f t="shared" si="23"/>
        <v>-0.24782053902665033</v>
      </c>
    </row>
    <row r="57" spans="1:26">
      <c r="A57">
        <v>3.1283733333333337</v>
      </c>
      <c r="B57">
        <v>0.83922222222222209</v>
      </c>
      <c r="H57">
        <v>3.0003733333333344</v>
      </c>
      <c r="I57">
        <v>0.79333333333333345</v>
      </c>
      <c r="O57">
        <v>2.7980799999999997</v>
      </c>
      <c r="P57">
        <v>0.83111111111111102</v>
      </c>
      <c r="V57">
        <v>2.259546666666667</v>
      </c>
      <c r="W57">
        <v>0.84687777777777784</v>
      </c>
    </row>
    <row r="62" spans="1:26">
      <c r="B62" t="s">
        <v>100</v>
      </c>
      <c r="P62" t="s">
        <v>101</v>
      </c>
    </row>
    <row r="63" spans="1:26">
      <c r="B63" t="s">
        <v>16</v>
      </c>
      <c r="I63" t="s">
        <v>16</v>
      </c>
      <c r="P63" t="s">
        <v>16</v>
      </c>
      <c r="W63" t="s">
        <v>16</v>
      </c>
    </row>
    <row r="64" spans="1:26">
      <c r="A64" t="s">
        <v>30</v>
      </c>
      <c r="B64" t="s">
        <v>31</v>
      </c>
      <c r="C64" t="s">
        <v>67</v>
      </c>
      <c r="D64" t="s">
        <v>68</v>
      </c>
      <c r="H64" t="s">
        <v>30</v>
      </c>
      <c r="I64" t="s">
        <v>31</v>
      </c>
      <c r="J64" t="s">
        <v>67</v>
      </c>
      <c r="K64" t="s">
        <v>68</v>
      </c>
      <c r="O64" t="s">
        <v>30</v>
      </c>
      <c r="P64" t="s">
        <v>31</v>
      </c>
      <c r="Q64" t="s">
        <v>67</v>
      </c>
      <c r="R64" t="s">
        <v>68</v>
      </c>
      <c r="V64" t="s">
        <v>30</v>
      </c>
      <c r="W64" t="s">
        <v>31</v>
      </c>
      <c r="X64" t="s">
        <v>67</v>
      </c>
      <c r="Y64" t="s">
        <v>68</v>
      </c>
    </row>
    <row r="65" spans="1:27">
      <c r="A65">
        <v>3.8041600000000004</v>
      </c>
      <c r="B65">
        <v>1.27</v>
      </c>
      <c r="C65">
        <f t="shared" ref="C65:D65" si="24">+LN(A65)</f>
        <v>1.3360952047870387</v>
      </c>
      <c r="D65">
        <f t="shared" si="24"/>
        <v>0.23901690047049992</v>
      </c>
      <c r="E65" t="s">
        <v>69</v>
      </c>
      <c r="F65">
        <v>0.84796850000000001</v>
      </c>
      <c r="H65">
        <v>4.1414400000000011</v>
      </c>
      <c r="I65">
        <v>1.08</v>
      </c>
      <c r="J65">
        <f t="shared" ref="J65:K65" si="25">+LN(H65)</f>
        <v>1.4210435534467099</v>
      </c>
      <c r="K65">
        <f t="shared" si="25"/>
        <v>7.6961041136128394E-2</v>
      </c>
      <c r="L65" t="s">
        <v>69</v>
      </c>
      <c r="M65">
        <f>RSQ(J65:J73,K65:K73)</f>
        <v>0.77194456895732122</v>
      </c>
      <c r="O65">
        <v>4.4275200000000012</v>
      </c>
      <c r="P65">
        <v>1.19</v>
      </c>
      <c r="Q65">
        <f t="shared" ref="Q65:R65" si="26">+LN(O65)</f>
        <v>1.4878396078865577</v>
      </c>
      <c r="R65">
        <f t="shared" si="26"/>
        <v>0.17395330712343798</v>
      </c>
      <c r="S65" t="s">
        <v>69</v>
      </c>
      <c r="T65">
        <v>0.76369799999999999</v>
      </c>
      <c r="V65">
        <v>3.5868800000000007</v>
      </c>
      <c r="W65">
        <v>1.0780000000000001</v>
      </c>
      <c r="X65">
        <f t="shared" ref="X65:Y65" si="27">+LN(V65)</f>
        <v>1.2772827438505936</v>
      </c>
      <c r="Y65">
        <f t="shared" si="27"/>
        <v>7.5107472486805479E-2</v>
      </c>
      <c r="Z65" t="s">
        <v>69</v>
      </c>
      <c r="AA65" s="5">
        <v>0.9265854</v>
      </c>
    </row>
    <row r="66" spans="1:27">
      <c r="A66">
        <v>3.8305600000000002</v>
      </c>
      <c r="B66">
        <v>1.145</v>
      </c>
      <c r="C66">
        <f t="shared" ref="C66:D73" si="28">+LN(A66)</f>
        <v>1.3430110066035319</v>
      </c>
      <c r="D66">
        <f t="shared" si="28"/>
        <v>0.13540463700620298</v>
      </c>
      <c r="E66" t="s">
        <v>70</v>
      </c>
      <c r="F66">
        <f>SLOPE(C65:C73,D65:D73)</f>
        <v>1.4512336321694539</v>
      </c>
      <c r="H66">
        <v>3.9460799999999998</v>
      </c>
      <c r="I66">
        <v>0.82</v>
      </c>
      <c r="J66">
        <f t="shared" ref="J66:K73" si="29">+LN(H66)</f>
        <v>1.3727226810897959</v>
      </c>
      <c r="K66">
        <f t="shared" si="29"/>
        <v>-0.19845093872383832</v>
      </c>
      <c r="L66" t="s">
        <v>70</v>
      </c>
      <c r="M66">
        <f>SLOPE(J65:J73,K65:K73)</f>
        <v>2.4500388959553097</v>
      </c>
      <c r="O66">
        <v>3.0362400000000012</v>
      </c>
      <c r="P66">
        <v>1.08</v>
      </c>
      <c r="Q66">
        <f t="shared" ref="Q66:R73" si="30">+LN(O66)</f>
        <v>1.1106199077923871</v>
      </c>
      <c r="R66">
        <f t="shared" si="30"/>
        <v>7.6961041136128394E-2</v>
      </c>
      <c r="S66" t="s">
        <v>70</v>
      </c>
      <c r="T66">
        <f>SLOPE(Q65:Q73,R65:R73)</f>
        <v>0.74408875145893483</v>
      </c>
      <c r="V66">
        <v>3.1385599999999991</v>
      </c>
      <c r="W66">
        <v>0.85709999999999997</v>
      </c>
      <c r="X66">
        <f t="shared" ref="X66:Y73" si="31">+LN(V66)</f>
        <v>1.1437640960054904</v>
      </c>
      <c r="Y66">
        <f t="shared" si="31"/>
        <v>-0.15420068107730001</v>
      </c>
      <c r="Z66" t="s">
        <v>70</v>
      </c>
      <c r="AA66">
        <f>SLOPE(X65:X73,Y65:Y73)</f>
        <v>1.2650511253295265</v>
      </c>
    </row>
    <row r="67" spans="1:27">
      <c r="A67">
        <v>3.504640000000002</v>
      </c>
      <c r="B67">
        <v>0.94199999999999995</v>
      </c>
      <c r="C67">
        <f t="shared" si="28"/>
        <v>1.2540878047977835</v>
      </c>
      <c r="D67">
        <f t="shared" si="28"/>
        <v>-5.9750004405774049E-2</v>
      </c>
      <c r="E67" t="s">
        <v>71</v>
      </c>
      <c r="F67">
        <f>+ INTERCEPT(C65:C73,D65:D73)</f>
        <v>1.1674602414048243</v>
      </c>
      <c r="H67">
        <v>4.0809600000000028</v>
      </c>
      <c r="I67">
        <v>0.89</v>
      </c>
      <c r="J67">
        <f t="shared" si="29"/>
        <v>1.4063322548563986</v>
      </c>
      <c r="K67">
        <f t="shared" si="29"/>
        <v>-0.11653381625595151</v>
      </c>
      <c r="L67" t="s">
        <v>71</v>
      </c>
      <c r="M67">
        <f>+ INTERCEPT(J65:J73,K65:K73)</f>
        <v>1.5725806616221356</v>
      </c>
      <c r="O67">
        <v>2.85</v>
      </c>
      <c r="P67">
        <v>0.64</v>
      </c>
      <c r="Q67">
        <f t="shared" si="30"/>
        <v>1.0473189942805592</v>
      </c>
      <c r="R67">
        <f t="shared" si="30"/>
        <v>-0.44628710262841947</v>
      </c>
      <c r="S67" t="s">
        <v>71</v>
      </c>
      <c r="T67">
        <f>+ INTERCEPT(Q65:Q73,R65:R73)</f>
        <v>1.0618765956367877</v>
      </c>
      <c r="V67">
        <v>2.7401599999999986</v>
      </c>
      <c r="W67">
        <v>0.81689999999999996</v>
      </c>
      <c r="X67">
        <f t="shared" si="31"/>
        <v>1.0080163128556896</v>
      </c>
      <c r="Y67">
        <f t="shared" si="31"/>
        <v>-0.20223859063431349</v>
      </c>
      <c r="Z67" t="s">
        <v>71</v>
      </c>
      <c r="AA67">
        <f>+ INTERCEPT(X65:X73,Y65:Y73)</f>
        <v>0.94879201031263438</v>
      </c>
    </row>
    <row r="68" spans="1:27">
      <c r="A68">
        <v>3.1676799999999998</v>
      </c>
      <c r="B68">
        <v>0.72499999999999998</v>
      </c>
      <c r="C68">
        <f t="shared" si="28"/>
        <v>1.1529994587493055</v>
      </c>
      <c r="D68">
        <f t="shared" si="28"/>
        <v>-0.32158362412746233</v>
      </c>
      <c r="H68">
        <v>3.6028800000000003</v>
      </c>
      <c r="I68">
        <v>0.93</v>
      </c>
      <c r="J68">
        <f t="shared" si="29"/>
        <v>1.2817335256326288</v>
      </c>
      <c r="K68">
        <f t="shared" si="29"/>
        <v>-7.2570692834835374E-2</v>
      </c>
      <c r="O68">
        <v>2.97</v>
      </c>
      <c r="P68">
        <v>1.1000000000000001</v>
      </c>
      <c r="Q68">
        <f t="shared" si="30"/>
        <v>1.0885619528146082</v>
      </c>
      <c r="R68">
        <f t="shared" si="30"/>
        <v>9.5310179804324935E-2</v>
      </c>
      <c r="V68">
        <v>1.88</v>
      </c>
      <c r="W68">
        <v>0.81699999999999995</v>
      </c>
      <c r="X68">
        <f t="shared" si="31"/>
        <v>0.63127177684185776</v>
      </c>
      <c r="Y68">
        <f t="shared" si="31"/>
        <v>-0.20211618412213422</v>
      </c>
    </row>
    <row r="69" spans="1:27">
      <c r="A69">
        <v>3.88</v>
      </c>
      <c r="B69">
        <v>0.77800000000000002</v>
      </c>
      <c r="C69">
        <f t="shared" si="28"/>
        <v>1.355835153635182</v>
      </c>
      <c r="D69">
        <f t="shared" si="28"/>
        <v>-0.25102875480374542</v>
      </c>
      <c r="E69" t="s">
        <v>102</v>
      </c>
      <c r="H69">
        <v>4.3499999999999996</v>
      </c>
      <c r="I69">
        <v>0.78</v>
      </c>
      <c r="J69">
        <f t="shared" si="29"/>
        <v>1.4701758451005926</v>
      </c>
      <c r="K69">
        <f t="shared" si="29"/>
        <v>-0.24846135929849961</v>
      </c>
      <c r="L69" t="s">
        <v>103</v>
      </c>
      <c r="O69">
        <v>3.9578400000000009</v>
      </c>
      <c r="P69">
        <v>0.95</v>
      </c>
      <c r="Q69">
        <f t="shared" si="30"/>
        <v>1.3756984219064874</v>
      </c>
      <c r="R69">
        <f t="shared" si="30"/>
        <v>-5.1293294387550578E-2</v>
      </c>
      <c r="S69" t="s">
        <v>104</v>
      </c>
      <c r="V69">
        <v>4.0879999999999992</v>
      </c>
      <c r="W69">
        <v>0.79830000000000001</v>
      </c>
      <c r="X69">
        <f t="shared" si="31"/>
        <v>1.4080558529014031</v>
      </c>
      <c r="Y69">
        <f t="shared" si="31"/>
        <v>-0.22527081233038385</v>
      </c>
      <c r="Z69" t="s">
        <v>105</v>
      </c>
    </row>
    <row r="70" spans="1:27">
      <c r="A70">
        <v>2.0752000000000006</v>
      </c>
      <c r="B70">
        <v>0.77100000000000002</v>
      </c>
      <c r="C70">
        <f t="shared" si="28"/>
        <v>0.73005753458004263</v>
      </c>
      <c r="D70">
        <f t="shared" si="28"/>
        <v>-0.26006690541880756</v>
      </c>
      <c r="H70">
        <v>2.2536</v>
      </c>
      <c r="I70">
        <v>0.78</v>
      </c>
      <c r="J70">
        <f t="shared" si="29"/>
        <v>0.81252893758002587</v>
      </c>
      <c r="K70">
        <f t="shared" si="29"/>
        <v>-0.24846135929849961</v>
      </c>
      <c r="O70">
        <v>2.1237600000000008</v>
      </c>
      <c r="P70">
        <v>0.62</v>
      </c>
      <c r="Q70">
        <f t="shared" si="30"/>
        <v>0.75318810264506775</v>
      </c>
      <c r="R70">
        <f t="shared" si="30"/>
        <v>-0.4780358009429998</v>
      </c>
      <c r="V70">
        <v>1.1129599999999993</v>
      </c>
      <c r="W70">
        <v>0.96840000000000004</v>
      </c>
      <c r="X70">
        <f t="shared" si="31"/>
        <v>0.10702313274372582</v>
      </c>
      <c r="Y70">
        <f t="shared" si="31"/>
        <v>-3.2110053918233586E-2</v>
      </c>
    </row>
    <row r="71" spans="1:27">
      <c r="A71">
        <v>1.5256000000000012</v>
      </c>
      <c r="B71">
        <v>0.66</v>
      </c>
      <c r="C71">
        <f t="shared" si="28"/>
        <v>0.42238777530407301</v>
      </c>
      <c r="D71">
        <f t="shared" si="28"/>
        <v>-0.41551544396166579</v>
      </c>
      <c r="E71" t="s">
        <v>106</v>
      </c>
      <c r="H71">
        <v>1.0060799999999999</v>
      </c>
      <c r="I71">
        <v>0.64</v>
      </c>
      <c r="J71">
        <f t="shared" si="29"/>
        <v>6.0615913785951551E-3</v>
      </c>
      <c r="K71">
        <f t="shared" si="29"/>
        <v>-0.44628710262841947</v>
      </c>
      <c r="L71" t="s">
        <v>107</v>
      </c>
      <c r="O71">
        <v>1.7004000000000001</v>
      </c>
      <c r="P71">
        <v>0.94</v>
      </c>
      <c r="Q71">
        <f t="shared" si="30"/>
        <v>0.53086351750249805</v>
      </c>
      <c r="R71">
        <f t="shared" si="30"/>
        <v>-6.1875403718087529E-2</v>
      </c>
      <c r="S71" t="s">
        <v>108</v>
      </c>
      <c r="V71">
        <v>1.1595199999999997</v>
      </c>
      <c r="W71">
        <v>0.71779999999999999</v>
      </c>
      <c r="X71">
        <f t="shared" si="31"/>
        <v>0.14800612637883395</v>
      </c>
      <c r="Y71">
        <f t="shared" si="31"/>
        <v>-0.33156430026863015</v>
      </c>
      <c r="Z71" t="s">
        <v>109</v>
      </c>
    </row>
    <row r="72" spans="1:27">
      <c r="A72">
        <v>2.223040000000001</v>
      </c>
      <c r="B72">
        <v>0.59299999999999997</v>
      </c>
      <c r="C72">
        <f t="shared" si="28"/>
        <v>0.79887562852237948</v>
      </c>
      <c r="D72">
        <f t="shared" si="28"/>
        <v>-0.5225608799844117</v>
      </c>
      <c r="H72">
        <v>2.8195200000000002</v>
      </c>
      <c r="I72">
        <v>0.74</v>
      </c>
      <c r="J72">
        <f t="shared" si="29"/>
        <v>1.036566657696228</v>
      </c>
      <c r="K72">
        <f t="shared" si="29"/>
        <v>-0.30110509278392161</v>
      </c>
      <c r="O72">
        <v>1.7690400000000004</v>
      </c>
      <c r="P72">
        <v>0.36</v>
      </c>
      <c r="Q72">
        <f t="shared" si="30"/>
        <v>0.57043702656700623</v>
      </c>
      <c r="R72">
        <f t="shared" si="30"/>
        <v>-1.0216512475319814</v>
      </c>
      <c r="V72">
        <v>2.0467999999999993</v>
      </c>
      <c r="W72">
        <v>0.78790000000000004</v>
      </c>
      <c r="X72">
        <f t="shared" si="31"/>
        <v>0.7162775979487993</v>
      </c>
      <c r="Y72">
        <f t="shared" si="31"/>
        <v>-0.2383841007304946</v>
      </c>
    </row>
    <row r="73" spans="1:27">
      <c r="A73">
        <v>0.55840000000000067</v>
      </c>
      <c r="B73">
        <v>0.66900000000000004</v>
      </c>
      <c r="C73">
        <f t="shared" si="28"/>
        <v>-0.58267972753397312</v>
      </c>
      <c r="D73">
        <f t="shared" si="28"/>
        <v>-0.40197121885390852</v>
      </c>
      <c r="H73">
        <v>0.76968000000000059</v>
      </c>
      <c r="I73">
        <v>0.48</v>
      </c>
      <c r="J73">
        <f t="shared" si="29"/>
        <v>-0.26178043492912711</v>
      </c>
      <c r="K73">
        <f t="shared" si="29"/>
        <v>-0.73396917508020043</v>
      </c>
      <c r="O73">
        <v>0.93960000000000043</v>
      </c>
      <c r="P73">
        <v>0.6</v>
      </c>
      <c r="Q73">
        <f t="shared" si="30"/>
        <v>-6.2301026197378859E-2</v>
      </c>
      <c r="R73">
        <f t="shared" si="30"/>
        <v>-0.51082562376599072</v>
      </c>
      <c r="V73">
        <v>1.136239999999999</v>
      </c>
      <c r="W73">
        <v>0.78049999999999997</v>
      </c>
      <c r="X73">
        <f t="shared" si="31"/>
        <v>0.1277245655907347</v>
      </c>
      <c r="Y73">
        <f t="shared" si="31"/>
        <v>-0.24782053902665033</v>
      </c>
    </row>
    <row r="74" spans="1:27">
      <c r="V74" t="s">
        <v>5</v>
      </c>
    </row>
    <row r="76" spans="1:27">
      <c r="A76">
        <v>2.7299200000000008</v>
      </c>
      <c r="B76">
        <v>0.83922222222222209</v>
      </c>
      <c r="H76">
        <v>2.9966933333333343</v>
      </c>
      <c r="I76">
        <v>0.79333333333333345</v>
      </c>
      <c r="O76">
        <v>2.6416000000000008</v>
      </c>
      <c r="P76">
        <v>0.83111111111111102</v>
      </c>
      <c r="V76">
        <v>2.3210133333333332</v>
      </c>
      <c r="W76">
        <v>0.84687777777777784</v>
      </c>
    </row>
    <row r="83" spans="1:27">
      <c r="B83" t="s">
        <v>110</v>
      </c>
      <c r="P83" t="s">
        <v>111</v>
      </c>
    </row>
    <row r="84" spans="1:27">
      <c r="B84" t="s">
        <v>16</v>
      </c>
      <c r="I84" t="s">
        <v>16</v>
      </c>
      <c r="P84" t="s">
        <v>16</v>
      </c>
      <c r="W84" t="s">
        <v>16</v>
      </c>
    </row>
    <row r="85" spans="1:27">
      <c r="A85" t="s">
        <v>30</v>
      </c>
      <c r="B85" t="s">
        <v>31</v>
      </c>
      <c r="C85" t="s">
        <v>67</v>
      </c>
      <c r="D85" t="s">
        <v>68</v>
      </c>
      <c r="H85" t="s">
        <v>30</v>
      </c>
      <c r="I85" t="s">
        <v>31</v>
      </c>
      <c r="J85" t="s">
        <v>67</v>
      </c>
      <c r="K85" t="s">
        <v>68</v>
      </c>
      <c r="O85" t="s">
        <v>30</v>
      </c>
      <c r="P85" t="s">
        <v>31</v>
      </c>
      <c r="Q85" t="s">
        <v>67</v>
      </c>
      <c r="R85" t="s">
        <v>68</v>
      </c>
      <c r="V85" t="s">
        <v>30</v>
      </c>
      <c r="W85" t="s">
        <v>31</v>
      </c>
      <c r="X85" t="s">
        <v>67</v>
      </c>
      <c r="Y85" t="s">
        <v>68</v>
      </c>
    </row>
    <row r="86" spans="1:27">
      <c r="A86">
        <v>4.2334399999999999</v>
      </c>
      <c r="B86">
        <v>1.27</v>
      </c>
      <c r="C86">
        <f t="shared" ref="C86:D86" si="32">+LN(A86)</f>
        <v>1.4430149013293943</v>
      </c>
      <c r="D86">
        <f t="shared" si="32"/>
        <v>0.23901690047049992</v>
      </c>
      <c r="E86" t="s">
        <v>69</v>
      </c>
      <c r="F86">
        <v>0.73658939999999995</v>
      </c>
      <c r="H86">
        <v>3.7393599999999982</v>
      </c>
      <c r="I86">
        <v>1.08</v>
      </c>
      <c r="J86">
        <f t="shared" ref="J86:K86" si="33">+LN(H86)</f>
        <v>1.3189144737885774</v>
      </c>
      <c r="K86">
        <f t="shared" si="33"/>
        <v>7.6961041136128394E-2</v>
      </c>
      <c r="L86" t="s">
        <v>69</v>
      </c>
      <c r="M86">
        <f>RSQ(J86:J94,K86:K94)</f>
        <v>0.75404371272011395</v>
      </c>
      <c r="O86">
        <v>4.1234400000000004</v>
      </c>
      <c r="P86">
        <v>1.19</v>
      </c>
      <c r="Q86">
        <f t="shared" ref="Q86:R86" si="34">+LN(O86)</f>
        <v>1.4166877664396842</v>
      </c>
      <c r="R86">
        <f t="shared" si="34"/>
        <v>0.17395330712343798</v>
      </c>
      <c r="S86" t="s">
        <v>69</v>
      </c>
      <c r="T86">
        <v>0.8569985</v>
      </c>
      <c r="V86">
        <v>3.0607200000000017</v>
      </c>
      <c r="W86">
        <v>1.0780000000000001</v>
      </c>
      <c r="X86">
        <f t="shared" ref="X86:Y86" si="35">+LN(V86)</f>
        <v>1.1186501824046176</v>
      </c>
      <c r="Y86">
        <f t="shared" si="35"/>
        <v>7.5107472486805479E-2</v>
      </c>
      <c r="Z86" t="s">
        <v>69</v>
      </c>
      <c r="AA86" s="5">
        <v>0.81966357999999995</v>
      </c>
    </row>
    <row r="87" spans="1:27">
      <c r="A87">
        <v>3.82592</v>
      </c>
      <c r="B87">
        <v>1.145</v>
      </c>
      <c r="C87">
        <f t="shared" ref="C87:D94" si="36">+LN(A87)</f>
        <v>1.3417989612333265</v>
      </c>
      <c r="D87">
        <f t="shared" si="36"/>
        <v>0.13540463700620298</v>
      </c>
      <c r="E87" t="s">
        <v>70</v>
      </c>
      <c r="F87">
        <f>SLOPE(C86:C94,D86:D94)</f>
        <v>1.7377217954757811</v>
      </c>
      <c r="H87">
        <v>2.8345599999999993</v>
      </c>
      <c r="I87">
        <v>0.82</v>
      </c>
      <c r="J87">
        <f t="shared" ref="J87:K94" si="37">+LN(H87)</f>
        <v>1.0418867223126413</v>
      </c>
      <c r="K87">
        <f t="shared" si="37"/>
        <v>-0.19845093872383832</v>
      </c>
      <c r="L87" t="s">
        <v>70</v>
      </c>
      <c r="M87">
        <f>SLOPE(J86:J94,K86:K94)</f>
        <v>2.437048954057409</v>
      </c>
      <c r="O87">
        <v>2.7710399999999993</v>
      </c>
      <c r="P87">
        <v>1.08</v>
      </c>
      <c r="Q87">
        <f t="shared" ref="Q87:R94" si="38">+LN(O87)</f>
        <v>1.0192227009985959</v>
      </c>
      <c r="R87">
        <f t="shared" si="38"/>
        <v>7.6961041136128394E-2</v>
      </c>
      <c r="S87" t="s">
        <v>70</v>
      </c>
      <c r="T87">
        <f>SLOPE(Q86:Q94,R86:R94)</f>
        <v>1.0283684062700604</v>
      </c>
      <c r="V87">
        <v>3.0055199999999997</v>
      </c>
      <c r="W87">
        <v>0.85709999999999997</v>
      </c>
      <c r="X87">
        <f t="shared" ref="X87:Y94" si="39">+LN(V87)</f>
        <v>1.1004505979417496</v>
      </c>
      <c r="Y87">
        <f t="shared" si="39"/>
        <v>-0.15420068107730001</v>
      </c>
      <c r="Z87" t="s">
        <v>70</v>
      </c>
      <c r="AA87">
        <f>SLOPE(X86:X94,Y86:Y94)</f>
        <v>0.15269026215516801</v>
      </c>
    </row>
    <row r="88" spans="1:27">
      <c r="A88">
        <v>3.6128000000000009</v>
      </c>
      <c r="B88">
        <v>0.94199999999999995</v>
      </c>
      <c r="C88">
        <f t="shared" si="36"/>
        <v>1.284483094973206</v>
      </c>
      <c r="D88">
        <f t="shared" si="36"/>
        <v>-5.9750004405774049E-2</v>
      </c>
      <c r="E88" t="s">
        <v>71</v>
      </c>
      <c r="F88">
        <f>+ INTERCEPT(C86:C94,D86:D94)</f>
        <v>1.2164191056063363</v>
      </c>
      <c r="H88">
        <v>3.34768</v>
      </c>
      <c r="I88">
        <v>0.89</v>
      </c>
      <c r="J88">
        <f t="shared" si="37"/>
        <v>1.208267568608804</v>
      </c>
      <c r="K88">
        <f t="shared" si="37"/>
        <v>-0.11653381625595151</v>
      </c>
      <c r="L88" t="s">
        <v>71</v>
      </c>
      <c r="M88">
        <f>+ INTERCEPT(J86:J94,K86:K94)</f>
        <v>1.3634699953416407</v>
      </c>
      <c r="O88">
        <v>2.6087999999999996</v>
      </c>
      <c r="P88">
        <v>0.64</v>
      </c>
      <c r="Q88">
        <f t="shared" si="38"/>
        <v>0.95889034549297214</v>
      </c>
      <c r="R88">
        <f t="shared" si="38"/>
        <v>-0.44628710262841947</v>
      </c>
      <c r="S88" t="s">
        <v>71</v>
      </c>
      <c r="T88">
        <f>+ INTERCEPT(Q86:Q94,R86:R94)</f>
        <v>0.93712167455314443</v>
      </c>
      <c r="V88">
        <v>2.8101599999999998</v>
      </c>
      <c r="W88">
        <v>0.81689999999999996</v>
      </c>
      <c r="X88">
        <f t="shared" si="39"/>
        <v>1.0332414212264418</v>
      </c>
      <c r="Y88">
        <f t="shared" si="39"/>
        <v>-0.20223859063431349</v>
      </c>
      <c r="Z88" t="s">
        <v>71</v>
      </c>
      <c r="AA88">
        <f>+ INTERCEPT(X86:X94,Y86:Y94)</f>
        <v>0.72363224232813828</v>
      </c>
    </row>
    <row r="89" spans="1:27">
      <c r="A89">
        <v>2.9604799999999996</v>
      </c>
      <c r="B89">
        <v>0.72499999999999998</v>
      </c>
      <c r="C89">
        <f t="shared" si="36"/>
        <v>1.0853514173512688</v>
      </c>
      <c r="D89">
        <f t="shared" si="36"/>
        <v>-0.32158362412746233</v>
      </c>
      <c r="H89">
        <v>2.6132799999999983</v>
      </c>
      <c r="I89">
        <v>0.93</v>
      </c>
      <c r="J89">
        <f t="shared" si="37"/>
        <v>0.9606061373226914</v>
      </c>
      <c r="K89">
        <f t="shared" si="37"/>
        <v>-7.2570692834835374E-2</v>
      </c>
      <c r="O89">
        <v>3.0359999999999996</v>
      </c>
      <c r="P89">
        <v>1.1000000000000001</v>
      </c>
      <c r="Q89">
        <f t="shared" si="38"/>
        <v>1.1105408595333834</v>
      </c>
      <c r="R89">
        <f t="shared" si="38"/>
        <v>9.5310179804324935E-2</v>
      </c>
      <c r="V89">
        <v>2.0219999999999994</v>
      </c>
      <c r="W89">
        <v>0.81699999999999995</v>
      </c>
      <c r="X89">
        <f t="shared" si="39"/>
        <v>0.70408712059827938</v>
      </c>
      <c r="Y89">
        <f t="shared" si="39"/>
        <v>-0.20211618412213422</v>
      </c>
    </row>
    <row r="90" spans="1:27">
      <c r="A90">
        <v>4.3099999999999996</v>
      </c>
      <c r="B90">
        <v>0.77800000000000002</v>
      </c>
      <c r="C90">
        <f t="shared" si="36"/>
        <v>1.4609379041156563</v>
      </c>
      <c r="D90">
        <f t="shared" si="36"/>
        <v>-0.25102875480374542</v>
      </c>
      <c r="E90" t="s">
        <v>112</v>
      </c>
      <c r="H90">
        <v>3.91</v>
      </c>
      <c r="I90">
        <v>0.78</v>
      </c>
      <c r="J90">
        <f t="shared" si="37"/>
        <v>1.3635373739972745</v>
      </c>
      <c r="K90">
        <f t="shared" si="37"/>
        <v>-0.24846135929849961</v>
      </c>
      <c r="L90" t="s">
        <v>113</v>
      </c>
      <c r="O90">
        <v>3.8668799999999992</v>
      </c>
      <c r="P90">
        <v>0.95</v>
      </c>
      <c r="Q90">
        <f t="shared" si="38"/>
        <v>1.3524479803360605</v>
      </c>
      <c r="R90">
        <f t="shared" si="38"/>
        <v>-5.1293294387550578E-2</v>
      </c>
      <c r="S90" t="s">
        <v>114</v>
      </c>
      <c r="V90">
        <v>4.3595999999999995</v>
      </c>
      <c r="W90">
        <v>0.79830000000000001</v>
      </c>
      <c r="X90">
        <f t="shared" si="39"/>
        <v>1.4723803100330195</v>
      </c>
      <c r="Y90">
        <f t="shared" si="39"/>
        <v>-0.22527081233038385</v>
      </c>
      <c r="Z90" t="s">
        <v>115</v>
      </c>
    </row>
    <row r="91" spans="1:27">
      <c r="A91">
        <v>2.7824</v>
      </c>
      <c r="B91">
        <v>0.77100000000000002</v>
      </c>
      <c r="C91">
        <f t="shared" si="36"/>
        <v>1.0233138646178814</v>
      </c>
      <c r="D91">
        <f t="shared" si="36"/>
        <v>-0.26006690541880756</v>
      </c>
      <c r="H91">
        <v>1.662399999999999</v>
      </c>
      <c r="I91">
        <v>0.78</v>
      </c>
      <c r="J91">
        <f t="shared" si="37"/>
        <v>0.50826234136282533</v>
      </c>
      <c r="K91">
        <f t="shared" si="37"/>
        <v>-0.24846135929849961</v>
      </c>
      <c r="O91">
        <v>1.691519999999999</v>
      </c>
      <c r="P91">
        <v>0.62</v>
      </c>
      <c r="Q91">
        <f t="shared" si="38"/>
        <v>0.52562753299373211</v>
      </c>
      <c r="R91">
        <f t="shared" si="38"/>
        <v>-0.4780358009429998</v>
      </c>
      <c r="V91">
        <v>0.74063999999999974</v>
      </c>
      <c r="W91">
        <v>0.96840000000000004</v>
      </c>
      <c r="X91">
        <f t="shared" si="39"/>
        <v>-0.30024060169917699</v>
      </c>
      <c r="Y91">
        <f t="shared" si="39"/>
        <v>-3.2110053918233586E-2</v>
      </c>
    </row>
    <row r="92" spans="1:27">
      <c r="A92">
        <v>0.9329600000000009</v>
      </c>
      <c r="B92">
        <v>0.66</v>
      </c>
      <c r="C92">
        <f t="shared" si="36"/>
        <v>-6.9392951508290224E-2</v>
      </c>
      <c r="D92">
        <f t="shared" si="36"/>
        <v>-0.41551544396166579</v>
      </c>
      <c r="E92" t="s">
        <v>116</v>
      </c>
      <c r="H92">
        <v>0.85887999999999876</v>
      </c>
      <c r="I92">
        <v>0.64</v>
      </c>
      <c r="J92">
        <f t="shared" si="37"/>
        <v>-0.15212606407893092</v>
      </c>
      <c r="K92">
        <f t="shared" si="37"/>
        <v>-0.44628710262841947</v>
      </c>
      <c r="L92" t="s">
        <v>117</v>
      </c>
      <c r="O92">
        <v>1.2211199999999998</v>
      </c>
      <c r="P92">
        <v>0.94</v>
      </c>
      <c r="Q92">
        <f t="shared" si="38"/>
        <v>0.19976847039767506</v>
      </c>
      <c r="R92">
        <f t="shared" si="38"/>
        <v>-6.1875403718087529E-2</v>
      </c>
      <c r="S92" t="s">
        <v>118</v>
      </c>
      <c r="V92">
        <v>1.4856000000000005</v>
      </c>
      <c r="W92">
        <v>0.71779999999999999</v>
      </c>
      <c r="X92">
        <f t="shared" si="39"/>
        <v>0.39581873105635929</v>
      </c>
      <c r="Y92">
        <f t="shared" si="39"/>
        <v>-0.33156430026863015</v>
      </c>
      <c r="Z92" t="s">
        <v>119</v>
      </c>
    </row>
    <row r="93" spans="1:27">
      <c r="A93">
        <v>2.2438399999999987</v>
      </c>
      <c r="B93">
        <v>0.59299999999999997</v>
      </c>
      <c r="C93">
        <f t="shared" si="36"/>
        <v>0.8081886838706227</v>
      </c>
      <c r="D93">
        <f t="shared" si="36"/>
        <v>-0.5225608799844117</v>
      </c>
      <c r="H93">
        <v>2.4865599999999985</v>
      </c>
      <c r="I93">
        <v>0.74</v>
      </c>
      <c r="J93">
        <f t="shared" si="37"/>
        <v>0.91090022918516411</v>
      </c>
      <c r="K93">
        <f t="shared" si="37"/>
        <v>-0.30110509278392161</v>
      </c>
      <c r="O93">
        <v>1.3195199999999996</v>
      </c>
      <c r="P93">
        <v>0.36</v>
      </c>
      <c r="Q93">
        <f t="shared" si="38"/>
        <v>0.2772680341029079</v>
      </c>
      <c r="R93">
        <f t="shared" si="38"/>
        <v>-1.0216512475319814</v>
      </c>
      <c r="V93">
        <v>2.3436000000000003</v>
      </c>
      <c r="W93">
        <v>0.78790000000000004</v>
      </c>
      <c r="X93">
        <f t="shared" si="39"/>
        <v>0.85168820868849671</v>
      </c>
      <c r="Y93">
        <f t="shared" si="39"/>
        <v>-0.2383841007304946</v>
      </c>
    </row>
    <row r="94" spans="1:27">
      <c r="A94">
        <v>0.51752000000000109</v>
      </c>
      <c r="B94">
        <v>0.66900000000000004</v>
      </c>
      <c r="C94">
        <f t="shared" si="36"/>
        <v>-0.65870710724640491</v>
      </c>
      <c r="D94">
        <f t="shared" si="36"/>
        <v>-0.40197121885390852</v>
      </c>
      <c r="H94">
        <v>0.62679999999999891</v>
      </c>
      <c r="I94">
        <v>0.48</v>
      </c>
      <c r="J94">
        <f t="shared" si="37"/>
        <v>-0.46712776850027304</v>
      </c>
      <c r="K94">
        <f t="shared" si="37"/>
        <v>-0.73396917508020043</v>
      </c>
      <c r="O94">
        <v>0.49007999999999874</v>
      </c>
      <c r="P94">
        <v>0.6</v>
      </c>
      <c r="Q94">
        <f t="shared" si="38"/>
        <v>-0.7131866358976745</v>
      </c>
      <c r="R94">
        <f t="shared" si="38"/>
        <v>-0.51082562376599072</v>
      </c>
      <c r="V94">
        <v>0.90360000000000018</v>
      </c>
      <c r="W94">
        <v>0.78049999999999997</v>
      </c>
      <c r="X94">
        <f t="shared" si="39"/>
        <v>-0.10136849438828865</v>
      </c>
      <c r="Y94">
        <f t="shared" si="39"/>
        <v>-0.24782053902665033</v>
      </c>
    </row>
    <row r="97" spans="1:23">
      <c r="A97">
        <v>2.8243733333333334</v>
      </c>
      <c r="B97">
        <v>0.83922222222222209</v>
      </c>
      <c r="H97">
        <v>2.4532799999999986</v>
      </c>
      <c r="I97">
        <v>0.79333333333333345</v>
      </c>
      <c r="O97">
        <v>2.3475999999999999</v>
      </c>
      <c r="P97">
        <v>0.83111111111111102</v>
      </c>
      <c r="V97">
        <v>2.3034933333333338</v>
      </c>
      <c r="W97">
        <v>0.84687777777777784</v>
      </c>
    </row>
  </sheetData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T142"/>
  <sheetViews>
    <sheetView workbookViewId="0"/>
  </sheetViews>
  <sheetFormatPr baseColWidth="10" defaultRowHeight="12.75"/>
  <sheetData>
    <row r="1" spans="1:20">
      <c r="F1" t="s">
        <v>120</v>
      </c>
      <c r="G1" t="s">
        <v>121</v>
      </c>
      <c r="H1" t="s">
        <v>122</v>
      </c>
    </row>
    <row r="2" spans="1:20">
      <c r="F2" t="s">
        <v>123</v>
      </c>
      <c r="G2">
        <v>6</v>
      </c>
      <c r="H2">
        <v>44</v>
      </c>
    </row>
    <row r="3" spans="1:20">
      <c r="A3" t="s">
        <v>124</v>
      </c>
      <c r="F3" t="s">
        <v>125</v>
      </c>
      <c r="G3">
        <v>15</v>
      </c>
      <c r="H3">
        <v>38</v>
      </c>
    </row>
    <row r="4" spans="1:20">
      <c r="F4" t="s">
        <v>126</v>
      </c>
      <c r="G4">
        <v>23</v>
      </c>
      <c r="H4">
        <v>33</v>
      </c>
    </row>
    <row r="5" spans="1:20">
      <c r="A5" t="s">
        <v>127</v>
      </c>
      <c r="B5" t="s">
        <v>128</v>
      </c>
      <c r="F5" t="s">
        <v>129</v>
      </c>
      <c r="G5">
        <v>32</v>
      </c>
      <c r="H5">
        <v>27</v>
      </c>
      <c r="P5" t="s">
        <v>127</v>
      </c>
      <c r="Q5" t="s">
        <v>128</v>
      </c>
    </row>
    <row r="6" spans="1:20">
      <c r="A6" t="s">
        <v>130</v>
      </c>
      <c r="B6" s="2" t="s">
        <v>131</v>
      </c>
      <c r="C6" t="s">
        <v>132</v>
      </c>
      <c r="D6" t="s">
        <v>133</v>
      </c>
      <c r="E6" t="s">
        <v>134</v>
      </c>
      <c r="P6" t="s">
        <v>130</v>
      </c>
      <c r="Q6" s="2" t="s">
        <v>131</v>
      </c>
      <c r="R6" t="s">
        <v>132</v>
      </c>
      <c r="S6" t="s">
        <v>133</v>
      </c>
      <c r="T6" t="s">
        <v>134</v>
      </c>
    </row>
    <row r="7" spans="1:20">
      <c r="A7">
        <v>0</v>
      </c>
      <c r="B7">
        <v>2.66</v>
      </c>
      <c r="C7">
        <v>2.8</v>
      </c>
      <c r="D7">
        <v>4.05</v>
      </c>
      <c r="E7">
        <v>2.66</v>
      </c>
      <c r="O7" s="6" t="s">
        <v>135</v>
      </c>
      <c r="P7" t="s">
        <v>5</v>
      </c>
      <c r="Q7">
        <v>2.66</v>
      </c>
      <c r="R7">
        <v>2.8</v>
      </c>
      <c r="S7">
        <v>4.05</v>
      </c>
      <c r="T7">
        <v>2.66</v>
      </c>
    </row>
    <row r="8" spans="1:20">
      <c r="A8">
        <v>1</v>
      </c>
      <c r="B8">
        <v>2.69</v>
      </c>
      <c r="C8">
        <v>2.66</v>
      </c>
      <c r="D8">
        <v>4.22</v>
      </c>
      <c r="E8">
        <v>2.41</v>
      </c>
      <c r="O8" s="6" t="s">
        <v>136</v>
      </c>
      <c r="Q8">
        <v>1.1299999999999999</v>
      </c>
      <c r="R8">
        <v>1.07</v>
      </c>
      <c r="S8">
        <v>1.87</v>
      </c>
      <c r="T8">
        <v>0.81</v>
      </c>
    </row>
    <row r="9" spans="1:20">
      <c r="A9">
        <v>2</v>
      </c>
      <c r="B9">
        <v>3.45</v>
      </c>
      <c r="C9">
        <v>3.25</v>
      </c>
      <c r="D9">
        <v>4.3899999999999997</v>
      </c>
      <c r="E9">
        <v>3.03</v>
      </c>
    </row>
    <row r="10" spans="1:20">
      <c r="A10">
        <v>3</v>
      </c>
      <c r="B10">
        <v>3.22</v>
      </c>
      <c r="C10">
        <v>2.5499999999999998</v>
      </c>
      <c r="D10">
        <v>4.8</v>
      </c>
      <c r="E10">
        <v>2.88</v>
      </c>
    </row>
    <row r="11" spans="1:20">
      <c r="A11">
        <v>4</v>
      </c>
      <c r="B11">
        <v>2.35</v>
      </c>
      <c r="C11">
        <v>2.0499999999999998</v>
      </c>
      <c r="D11">
        <v>3.89</v>
      </c>
      <c r="E11">
        <v>2.5299999999999998</v>
      </c>
    </row>
    <row r="13" spans="1:20">
      <c r="J13" t="s">
        <v>137</v>
      </c>
      <c r="K13" s="3" t="s">
        <v>131</v>
      </c>
      <c r="L13" s="1" t="s">
        <v>132</v>
      </c>
      <c r="M13" s="1" t="s">
        <v>133</v>
      </c>
      <c r="N13" s="1" t="s">
        <v>134</v>
      </c>
    </row>
    <row r="14" spans="1:20">
      <c r="J14" t="s">
        <v>138</v>
      </c>
      <c r="K14">
        <v>129.69999999999999</v>
      </c>
      <c r="L14">
        <v>116.1</v>
      </c>
      <c r="M14">
        <v>118.5</v>
      </c>
      <c r="N14">
        <v>113.9</v>
      </c>
    </row>
    <row r="45" spans="1:13">
      <c r="I45" t="s">
        <v>139</v>
      </c>
      <c r="J45" t="s">
        <v>140</v>
      </c>
    </row>
    <row r="46" spans="1:13">
      <c r="C46" t="s">
        <v>141</v>
      </c>
      <c r="D46" t="s">
        <v>142</v>
      </c>
      <c r="F46" t="s">
        <v>143</v>
      </c>
      <c r="G46" t="s">
        <v>144</v>
      </c>
      <c r="H46" t="s">
        <v>145</v>
      </c>
      <c r="I46" s="1" t="s">
        <v>146</v>
      </c>
      <c r="J46" s="1" t="s">
        <v>146</v>
      </c>
      <c r="K46" t="s">
        <v>120</v>
      </c>
      <c r="L46" t="s">
        <v>121</v>
      </c>
      <c r="M46" t="s">
        <v>122</v>
      </c>
    </row>
    <row r="47" spans="1:13">
      <c r="B47" t="s">
        <v>120</v>
      </c>
      <c r="C47" t="s">
        <v>147</v>
      </c>
      <c r="D47" t="s">
        <v>148</v>
      </c>
      <c r="E47" t="s">
        <v>149</v>
      </c>
      <c r="F47" t="s">
        <v>150</v>
      </c>
      <c r="G47" t="s">
        <v>151</v>
      </c>
      <c r="H47" t="s">
        <v>152</v>
      </c>
      <c r="I47" t="s">
        <v>135</v>
      </c>
      <c r="J47" t="s">
        <v>136</v>
      </c>
      <c r="K47" t="s">
        <v>123</v>
      </c>
      <c r="L47">
        <v>6</v>
      </c>
      <c r="M47">
        <v>44</v>
      </c>
    </row>
    <row r="48" spans="1:13">
      <c r="A48" t="s">
        <v>123</v>
      </c>
      <c r="B48" s="2" t="s">
        <v>153</v>
      </c>
      <c r="C48">
        <v>11.3</v>
      </c>
      <c r="D48">
        <v>4.1000000000000002E-2</v>
      </c>
      <c r="E48">
        <v>0.83</v>
      </c>
      <c r="F48">
        <f>+D48/E48</f>
        <v>4.9397590361445788E-2</v>
      </c>
      <c r="G48">
        <v>14000</v>
      </c>
      <c r="H48">
        <f>+F48*G48</f>
        <v>691.56626506024099</v>
      </c>
      <c r="I48">
        <f>+(C48/H48)*100</f>
        <v>1.6339721254355399</v>
      </c>
      <c r="J48">
        <v>1.225714285714286</v>
      </c>
      <c r="K48" t="s">
        <v>125</v>
      </c>
      <c r="L48">
        <v>15</v>
      </c>
      <c r="M48">
        <v>38</v>
      </c>
    </row>
    <row r="49" spans="1:13">
      <c r="A49" t="s">
        <v>125</v>
      </c>
      <c r="B49">
        <v>26</v>
      </c>
      <c r="C49">
        <v>6.44</v>
      </c>
      <c r="D49">
        <v>4.2000000000000003E-2</v>
      </c>
      <c r="E49">
        <v>0.79</v>
      </c>
      <c r="F49">
        <f t="shared" ref="F49:F51" si="0">+D49/E49</f>
        <v>5.3164556962025315E-2</v>
      </c>
      <c r="G49">
        <v>14000</v>
      </c>
      <c r="H49">
        <f t="shared" ref="H49:H51" si="1">+F49*G49</f>
        <v>744.30379746835445</v>
      </c>
      <c r="I49">
        <f t="shared" ref="I49:I51" si="2">+(C49/H49)*100</f>
        <v>0.86523809523809536</v>
      </c>
      <c r="J49">
        <v>0.74135944700460832</v>
      </c>
      <c r="K49" t="s">
        <v>126</v>
      </c>
      <c r="L49">
        <v>23</v>
      </c>
      <c r="M49">
        <v>33</v>
      </c>
    </row>
    <row r="50" spans="1:13">
      <c r="A50" t="s">
        <v>126</v>
      </c>
      <c r="B50">
        <v>31</v>
      </c>
      <c r="C50">
        <v>10.72</v>
      </c>
      <c r="D50">
        <v>3.9E-2</v>
      </c>
      <c r="E50">
        <v>0.83</v>
      </c>
      <c r="F50">
        <f t="shared" si="0"/>
        <v>4.6987951807228916E-2</v>
      </c>
      <c r="G50">
        <v>14000</v>
      </c>
      <c r="H50">
        <f t="shared" si="1"/>
        <v>657.83132530120486</v>
      </c>
      <c r="I50">
        <f t="shared" si="2"/>
        <v>1.6295970695970698</v>
      </c>
      <c r="J50">
        <v>0.71499999999999997</v>
      </c>
      <c r="K50" t="s">
        <v>129</v>
      </c>
      <c r="L50">
        <v>32</v>
      </c>
      <c r="M50">
        <v>27</v>
      </c>
    </row>
    <row r="51" spans="1:13">
      <c r="A51" t="s">
        <v>129</v>
      </c>
      <c r="B51">
        <v>33</v>
      </c>
      <c r="C51">
        <v>5.29</v>
      </c>
      <c r="D51">
        <v>4.1000000000000002E-2</v>
      </c>
      <c r="E51">
        <v>0.84</v>
      </c>
      <c r="F51">
        <f t="shared" si="0"/>
        <v>4.8809523809523817E-2</v>
      </c>
      <c r="G51">
        <v>14000</v>
      </c>
      <c r="H51">
        <f t="shared" si="1"/>
        <v>683.33333333333348</v>
      </c>
      <c r="I51">
        <f t="shared" si="2"/>
        <v>0.77414634146341443</v>
      </c>
      <c r="J51">
        <v>0.42934624697336571</v>
      </c>
    </row>
    <row r="69" spans="1:14">
      <c r="D69" t="s">
        <v>154</v>
      </c>
      <c r="H69" t="s">
        <v>139</v>
      </c>
    </row>
    <row r="70" spans="1:14">
      <c r="A70" t="s">
        <v>155</v>
      </c>
      <c r="C70" t="s">
        <v>156</v>
      </c>
      <c r="D70" t="s">
        <v>156</v>
      </c>
      <c r="F70" t="s">
        <v>143</v>
      </c>
      <c r="G70" t="s">
        <v>144</v>
      </c>
      <c r="H70" t="s">
        <v>145</v>
      </c>
      <c r="I70" s="4" t="s">
        <v>157</v>
      </c>
      <c r="J70" s="4"/>
    </row>
    <row r="71" spans="1:14">
      <c r="A71" t="s">
        <v>158</v>
      </c>
      <c r="B71" t="s">
        <v>159</v>
      </c>
      <c r="C71" t="s">
        <v>160</v>
      </c>
      <c r="D71" t="s">
        <v>161</v>
      </c>
      <c r="E71" t="s">
        <v>149</v>
      </c>
      <c r="F71" t="s">
        <v>150</v>
      </c>
      <c r="G71" t="s">
        <v>151</v>
      </c>
      <c r="H71" t="s">
        <v>152</v>
      </c>
      <c r="I71" t="s">
        <v>162</v>
      </c>
      <c r="L71" t="s">
        <v>120</v>
      </c>
      <c r="M71" t="s">
        <v>121</v>
      </c>
      <c r="N71" t="s">
        <v>122</v>
      </c>
    </row>
    <row r="72" spans="1:14">
      <c r="A72" s="2" t="s">
        <v>131</v>
      </c>
      <c r="B72">
        <v>2.5000000000000001E-2</v>
      </c>
      <c r="C72">
        <v>2.3E-2</v>
      </c>
      <c r="D72">
        <f>+C72*20.5</f>
        <v>0.47149999999999997</v>
      </c>
      <c r="E72">
        <v>0.83</v>
      </c>
      <c r="F72">
        <f t="shared" ref="F72:F75" si="3">+C72/E72</f>
        <v>2.7710843373493978E-2</v>
      </c>
      <c r="G72">
        <v>14000</v>
      </c>
      <c r="H72">
        <f t="shared" ref="H72:H75" si="4">+F72*G72</f>
        <v>387.9518072289157</v>
      </c>
      <c r="I72">
        <f>+(D72/H72)*100</f>
        <v>0.12153571428571426</v>
      </c>
      <c r="L72" t="s">
        <v>123</v>
      </c>
      <c r="M72">
        <v>6</v>
      </c>
      <c r="N72">
        <v>44</v>
      </c>
    </row>
    <row r="73" spans="1:14">
      <c r="A73" t="s">
        <v>132</v>
      </c>
      <c r="B73">
        <v>1.2E-2</v>
      </c>
      <c r="C73">
        <v>3.5000000000000003E-2</v>
      </c>
      <c r="D73">
        <f t="shared" ref="D73:D75" si="5">+C73*20.5</f>
        <v>0.71750000000000003</v>
      </c>
      <c r="E73">
        <v>0.79</v>
      </c>
      <c r="F73">
        <f t="shared" si="3"/>
        <v>4.4303797468354431E-2</v>
      </c>
      <c r="G73">
        <v>14000</v>
      </c>
      <c r="H73">
        <f t="shared" si="4"/>
        <v>620.25316455696202</v>
      </c>
      <c r="I73">
        <f t="shared" ref="I73:I75" si="6">+(D73/H73)*100</f>
        <v>0.11567857142857144</v>
      </c>
      <c r="L73" t="s">
        <v>125</v>
      </c>
      <c r="M73">
        <v>15</v>
      </c>
      <c r="N73">
        <v>38</v>
      </c>
    </row>
    <row r="74" spans="1:14">
      <c r="A74" t="s">
        <v>133</v>
      </c>
      <c r="B74">
        <v>2E-3</v>
      </c>
      <c r="C74">
        <v>3.7999999999999999E-2</v>
      </c>
      <c r="D74">
        <f t="shared" si="5"/>
        <v>0.77900000000000003</v>
      </c>
      <c r="E74">
        <v>0.83</v>
      </c>
      <c r="F74">
        <f t="shared" si="3"/>
        <v>4.5783132530120486E-2</v>
      </c>
      <c r="G74">
        <v>14000</v>
      </c>
      <c r="H74">
        <f t="shared" si="4"/>
        <v>640.96385542168684</v>
      </c>
      <c r="I74">
        <f t="shared" si="6"/>
        <v>0.12153571428571427</v>
      </c>
      <c r="L74" t="s">
        <v>126</v>
      </c>
      <c r="M74">
        <v>23</v>
      </c>
      <c r="N74">
        <v>33</v>
      </c>
    </row>
    <row r="75" spans="1:14">
      <c r="A75" t="s">
        <v>134</v>
      </c>
      <c r="B75">
        <v>6.0000000000000001E-3</v>
      </c>
      <c r="C75">
        <v>1.0999999999999999E-2</v>
      </c>
      <c r="D75">
        <f t="shared" si="5"/>
        <v>0.22549999999999998</v>
      </c>
      <c r="E75">
        <v>0.84</v>
      </c>
      <c r="F75">
        <f t="shared" si="3"/>
        <v>1.3095238095238096E-2</v>
      </c>
      <c r="G75">
        <v>14000</v>
      </c>
      <c r="H75">
        <f t="shared" si="4"/>
        <v>183.33333333333334</v>
      </c>
      <c r="I75">
        <f t="shared" si="6"/>
        <v>0.12299999999999997</v>
      </c>
      <c r="L75" t="s">
        <v>129</v>
      </c>
      <c r="M75">
        <v>32</v>
      </c>
      <c r="N75">
        <v>27</v>
      </c>
    </row>
    <row r="78" spans="1:14">
      <c r="J78" s="4" t="s">
        <v>157</v>
      </c>
      <c r="K78" s="4" t="s">
        <v>157</v>
      </c>
    </row>
    <row r="79" spans="1:14">
      <c r="I79" t="s">
        <v>158</v>
      </c>
      <c r="J79" t="s">
        <v>135</v>
      </c>
      <c r="K79" t="s">
        <v>136</v>
      </c>
    </row>
    <row r="80" spans="1:14">
      <c r="I80" s="2" t="s">
        <v>153</v>
      </c>
      <c r="J80">
        <v>0.12153571428571426</v>
      </c>
      <c r="K80">
        <v>7.9071428571428584E-2</v>
      </c>
    </row>
    <row r="81" spans="1:11">
      <c r="I81">
        <v>26</v>
      </c>
      <c r="J81">
        <v>0.11567857142857144</v>
      </c>
      <c r="K81">
        <v>6.7900345622119815E-2</v>
      </c>
    </row>
    <row r="82" spans="1:11">
      <c r="I82">
        <v>31</v>
      </c>
      <c r="J82">
        <v>0.12153571428571427</v>
      </c>
      <c r="K82">
        <v>8.7857142857142856E-2</v>
      </c>
    </row>
    <row r="83" spans="1:11">
      <c r="I83">
        <v>36</v>
      </c>
      <c r="J83">
        <v>0.12299999999999997</v>
      </c>
      <c r="K83">
        <v>5.5394673123486685E-2</v>
      </c>
    </row>
    <row r="91" spans="1:11">
      <c r="B91" t="s">
        <v>154</v>
      </c>
      <c r="C91" t="s">
        <v>163</v>
      </c>
    </row>
    <row r="92" spans="1:11">
      <c r="A92" t="s">
        <v>120</v>
      </c>
      <c r="B92" t="s">
        <v>164</v>
      </c>
      <c r="C92" t="s">
        <v>34</v>
      </c>
      <c r="G92" t="s">
        <v>120</v>
      </c>
      <c r="H92" t="s">
        <v>121</v>
      </c>
      <c r="I92" t="s">
        <v>122</v>
      </c>
    </row>
    <row r="93" spans="1:11">
      <c r="A93" s="2" t="s">
        <v>131</v>
      </c>
      <c r="B93">
        <f t="shared" ref="B93:B96" si="7">+C93*20.5</f>
        <v>0.47149999999999997</v>
      </c>
      <c r="C93">
        <v>2.3E-2</v>
      </c>
      <c r="G93" t="s">
        <v>123</v>
      </c>
      <c r="H93">
        <v>6</v>
      </c>
      <c r="I93">
        <v>44</v>
      </c>
    </row>
    <row r="94" spans="1:11">
      <c r="A94" t="s">
        <v>132</v>
      </c>
      <c r="B94">
        <f t="shared" si="7"/>
        <v>0.71750000000000003</v>
      </c>
      <c r="C94">
        <v>3.5000000000000003E-2</v>
      </c>
      <c r="G94" t="s">
        <v>125</v>
      </c>
      <c r="H94">
        <v>15</v>
      </c>
      <c r="I94">
        <v>38</v>
      </c>
    </row>
    <row r="95" spans="1:11">
      <c r="A95" t="s">
        <v>133</v>
      </c>
      <c r="B95">
        <f t="shared" si="7"/>
        <v>0.77900000000000003</v>
      </c>
      <c r="C95">
        <v>3.7999999999999999E-2</v>
      </c>
      <c r="G95" t="s">
        <v>126</v>
      </c>
      <c r="H95">
        <v>23</v>
      </c>
      <c r="I95">
        <v>33</v>
      </c>
    </row>
    <row r="96" spans="1:11">
      <c r="A96" t="s">
        <v>134</v>
      </c>
      <c r="B96">
        <f t="shared" si="7"/>
        <v>0.22549999999999998</v>
      </c>
      <c r="C96">
        <v>1.0999999999999999E-2</v>
      </c>
      <c r="G96" t="s">
        <v>129</v>
      </c>
      <c r="H96">
        <v>32</v>
      </c>
      <c r="I96">
        <v>27</v>
      </c>
    </row>
    <row r="113" spans="1:7">
      <c r="A113" t="s">
        <v>120</v>
      </c>
      <c r="B113" t="s">
        <v>165</v>
      </c>
      <c r="C113" t="s">
        <v>166</v>
      </c>
      <c r="E113" t="s">
        <v>120</v>
      </c>
      <c r="F113" t="s">
        <v>121</v>
      </c>
      <c r="G113" t="s">
        <v>122</v>
      </c>
    </row>
    <row r="114" spans="1:7">
      <c r="A114" s="2" t="s">
        <v>131</v>
      </c>
      <c r="B114">
        <v>112.9</v>
      </c>
      <c r="C114">
        <v>59.5</v>
      </c>
      <c r="E114" t="s">
        <v>123</v>
      </c>
      <c r="F114">
        <v>6</v>
      </c>
      <c r="G114">
        <v>44</v>
      </c>
    </row>
    <row r="115" spans="1:7">
      <c r="A115" t="s">
        <v>132</v>
      </c>
      <c r="B115">
        <v>247.6</v>
      </c>
      <c r="C115">
        <v>73.37</v>
      </c>
      <c r="E115" t="s">
        <v>125</v>
      </c>
      <c r="F115">
        <v>15</v>
      </c>
      <c r="G115">
        <v>38</v>
      </c>
    </row>
    <row r="116" spans="1:7">
      <c r="A116" t="s">
        <v>133</v>
      </c>
      <c r="B116">
        <v>2148</v>
      </c>
      <c r="C116">
        <v>111.9</v>
      </c>
      <c r="E116" t="s">
        <v>126</v>
      </c>
      <c r="F116">
        <v>23</v>
      </c>
      <c r="G116">
        <v>33</v>
      </c>
    </row>
    <row r="117" spans="1:7">
      <c r="A117" t="s">
        <v>134</v>
      </c>
      <c r="B117">
        <v>470</v>
      </c>
      <c r="C117">
        <v>189.1</v>
      </c>
      <c r="E117" t="s">
        <v>129</v>
      </c>
      <c r="F117">
        <v>32</v>
      </c>
      <c r="G117">
        <v>27</v>
      </c>
    </row>
    <row r="136" spans="1:9">
      <c r="B136" t="s">
        <v>123</v>
      </c>
      <c r="C136" t="s">
        <v>125</v>
      </c>
      <c r="D136" t="s">
        <v>126</v>
      </c>
      <c r="E136" t="s">
        <v>129</v>
      </c>
    </row>
    <row r="137" spans="1:9">
      <c r="A137" t="s">
        <v>20</v>
      </c>
      <c r="B137" s="2" t="s">
        <v>131</v>
      </c>
      <c r="C137" t="s">
        <v>132</v>
      </c>
      <c r="D137" t="s">
        <v>133</v>
      </c>
      <c r="E137" t="s">
        <v>134</v>
      </c>
      <c r="G137" t="s">
        <v>120</v>
      </c>
      <c r="H137" t="s">
        <v>121</v>
      </c>
      <c r="I137" t="s">
        <v>122</v>
      </c>
    </row>
    <row r="138" spans="1:9">
      <c r="A138">
        <v>0</v>
      </c>
      <c r="B138">
        <v>2.5000000000000001E-2</v>
      </c>
      <c r="C138">
        <v>1.2E-2</v>
      </c>
      <c r="D138">
        <v>2E-3</v>
      </c>
      <c r="E138">
        <v>6.0000000000000001E-3</v>
      </c>
      <c r="G138" t="s">
        <v>123</v>
      </c>
      <c r="H138">
        <v>6</v>
      </c>
      <c r="I138">
        <v>44</v>
      </c>
    </row>
    <row r="139" spans="1:9">
      <c r="A139">
        <v>1</v>
      </c>
      <c r="B139">
        <v>4.8000000000000001E-2</v>
      </c>
      <c r="C139">
        <v>4.1000000000000002E-2</v>
      </c>
      <c r="D139">
        <v>0.04</v>
      </c>
      <c r="E139">
        <v>1.4E-2</v>
      </c>
      <c r="G139" t="s">
        <v>125</v>
      </c>
      <c r="H139">
        <v>15</v>
      </c>
      <c r="I139">
        <v>38</v>
      </c>
    </row>
    <row r="140" spans="1:9">
      <c r="A140">
        <v>2</v>
      </c>
      <c r="B140">
        <v>4.8000000000000001E-2</v>
      </c>
      <c r="C140">
        <v>4.7E-2</v>
      </c>
      <c r="D140">
        <v>0.02</v>
      </c>
      <c r="E140">
        <v>1.7000000000000001E-2</v>
      </c>
      <c r="G140" t="s">
        <v>126</v>
      </c>
      <c r="H140">
        <v>23</v>
      </c>
      <c r="I140">
        <v>33</v>
      </c>
    </row>
    <row r="141" spans="1:9">
      <c r="A141">
        <v>3</v>
      </c>
      <c r="B141">
        <v>0.05</v>
      </c>
      <c r="C141">
        <v>3.4000000000000002E-2</v>
      </c>
      <c r="D141">
        <v>8.9999999999999993E-3</v>
      </c>
      <c r="E141">
        <v>6.0000000000000001E-3</v>
      </c>
      <c r="G141" t="s">
        <v>129</v>
      </c>
      <c r="H141">
        <v>32</v>
      </c>
      <c r="I141">
        <v>27</v>
      </c>
    </row>
    <row r="142" spans="1:9">
      <c r="A142">
        <v>4</v>
      </c>
      <c r="B142">
        <v>0.03</v>
      </c>
      <c r="C142">
        <v>1.6E-2</v>
      </c>
      <c r="D142">
        <v>8.0000000000000002E-3</v>
      </c>
      <c r="E142">
        <v>4.0000000000000001E-3</v>
      </c>
    </row>
  </sheetData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K201"/>
  <sheetViews>
    <sheetView workbookViewId="0"/>
  </sheetViews>
  <sheetFormatPr baseColWidth="10" defaultRowHeight="12.75"/>
  <sheetData>
    <row r="1" spans="1:11">
      <c r="A1" t="s">
        <v>167</v>
      </c>
    </row>
    <row r="4" spans="1:11">
      <c r="A4" t="s">
        <v>168</v>
      </c>
      <c r="B4" t="s">
        <v>169</v>
      </c>
      <c r="C4" t="s">
        <v>5</v>
      </c>
      <c r="D4" t="s">
        <v>170</v>
      </c>
      <c r="E4" t="s">
        <v>171</v>
      </c>
      <c r="G4" t="s">
        <v>172</v>
      </c>
    </row>
    <row r="5" spans="1:11">
      <c r="A5" t="s">
        <v>173</v>
      </c>
      <c r="C5" t="s">
        <v>5</v>
      </c>
      <c r="D5" t="s">
        <v>174</v>
      </c>
      <c r="G5" t="s">
        <v>128</v>
      </c>
      <c r="H5" t="s">
        <v>175</v>
      </c>
      <c r="I5" t="s">
        <v>176</v>
      </c>
      <c r="J5" t="s">
        <v>177</v>
      </c>
      <c r="K5" t="s">
        <v>178</v>
      </c>
    </row>
    <row r="6" spans="1:11">
      <c r="A6">
        <v>0.12</v>
      </c>
      <c r="D6">
        <v>0.49</v>
      </c>
      <c r="E6">
        <f>+D6-A6</f>
        <v>0.37</v>
      </c>
      <c r="G6" t="s">
        <v>123</v>
      </c>
      <c r="H6">
        <v>0.27</v>
      </c>
      <c r="I6">
        <v>0.97</v>
      </c>
      <c r="J6">
        <v>29</v>
      </c>
      <c r="K6">
        <f>+((I6-H6)/J6)*1000</f>
        <v>24.137931034482758</v>
      </c>
    </row>
    <row r="7" spans="1:11">
      <c r="A7">
        <v>0.13</v>
      </c>
      <c r="D7">
        <v>0.55000000000000004</v>
      </c>
      <c r="E7">
        <f t="shared" ref="E7:E22" si="0">+D7-A7</f>
        <v>0.42000000000000004</v>
      </c>
      <c r="G7" t="s">
        <v>126</v>
      </c>
      <c r="H7">
        <v>0.23</v>
      </c>
      <c r="I7">
        <v>0.74</v>
      </c>
      <c r="J7">
        <v>31</v>
      </c>
      <c r="K7">
        <f t="shared" ref="K7:K9" si="1">+((I7-H7)/J7)*1000</f>
        <v>16.451612903225808</v>
      </c>
    </row>
    <row r="8" spans="1:11">
      <c r="A8">
        <v>0.14000000000000001</v>
      </c>
      <c r="D8">
        <v>0.59299999999999997</v>
      </c>
      <c r="E8">
        <f t="shared" si="0"/>
        <v>0.45299999999999996</v>
      </c>
      <c r="G8" t="s">
        <v>129</v>
      </c>
      <c r="H8">
        <v>0.21</v>
      </c>
      <c r="I8">
        <v>0.79</v>
      </c>
      <c r="J8">
        <v>32</v>
      </c>
      <c r="K8">
        <f t="shared" si="1"/>
        <v>18.125000000000004</v>
      </c>
    </row>
    <row r="9" spans="1:11">
      <c r="A9">
        <v>0.15</v>
      </c>
      <c r="D9">
        <v>0.64</v>
      </c>
      <c r="E9">
        <f t="shared" si="0"/>
        <v>0.49</v>
      </c>
      <c r="G9" t="s">
        <v>179</v>
      </c>
      <c r="H9">
        <v>0.22</v>
      </c>
      <c r="I9">
        <v>0.82</v>
      </c>
      <c r="J9">
        <v>30</v>
      </c>
      <c r="K9">
        <f t="shared" si="1"/>
        <v>20</v>
      </c>
    </row>
    <row r="10" spans="1:11">
      <c r="A10">
        <v>0.17</v>
      </c>
      <c r="D10">
        <v>0.66</v>
      </c>
      <c r="E10">
        <f t="shared" si="0"/>
        <v>0.49</v>
      </c>
    </row>
    <row r="11" spans="1:11">
      <c r="A11">
        <v>0.17</v>
      </c>
      <c r="D11">
        <v>0.66900000000000004</v>
      </c>
      <c r="E11">
        <f t="shared" si="0"/>
        <v>0.499</v>
      </c>
    </row>
    <row r="12" spans="1:11">
      <c r="A12">
        <v>0.18</v>
      </c>
      <c r="D12">
        <v>0.72499999999999998</v>
      </c>
      <c r="E12">
        <f t="shared" si="0"/>
        <v>0.54499999999999993</v>
      </c>
      <c r="G12" t="s">
        <v>180</v>
      </c>
      <c r="H12" t="s">
        <v>181</v>
      </c>
      <c r="I12" t="s">
        <v>178</v>
      </c>
    </row>
    <row r="13" spans="1:11">
      <c r="A13">
        <v>0.18</v>
      </c>
      <c r="D13">
        <v>0.77100000000000002</v>
      </c>
      <c r="E13">
        <f t="shared" si="0"/>
        <v>0.59099999999999997</v>
      </c>
      <c r="G13" t="s">
        <v>123</v>
      </c>
      <c r="H13" s="2" t="s">
        <v>131</v>
      </c>
      <c r="I13">
        <v>24.14</v>
      </c>
    </row>
    <row r="14" spans="1:11">
      <c r="A14">
        <v>0.18</v>
      </c>
      <c r="D14">
        <v>0.77800000000000002</v>
      </c>
      <c r="E14">
        <f t="shared" si="0"/>
        <v>0.59800000000000009</v>
      </c>
      <c r="G14" t="s">
        <v>179</v>
      </c>
      <c r="H14" t="s">
        <v>132</v>
      </c>
      <c r="I14">
        <v>20</v>
      </c>
    </row>
    <row r="15" spans="1:11">
      <c r="A15">
        <v>0.19</v>
      </c>
      <c r="D15">
        <v>0.79</v>
      </c>
      <c r="E15">
        <f t="shared" si="0"/>
        <v>0.60000000000000009</v>
      </c>
      <c r="G15" t="s">
        <v>126</v>
      </c>
      <c r="H15" t="s">
        <v>133</v>
      </c>
      <c r="I15">
        <v>16.45</v>
      </c>
    </row>
    <row r="16" spans="1:11">
      <c r="A16">
        <v>0.19</v>
      </c>
      <c r="D16">
        <v>0.79</v>
      </c>
      <c r="E16">
        <f t="shared" si="0"/>
        <v>0.60000000000000009</v>
      </c>
      <c r="G16" t="s">
        <v>129</v>
      </c>
      <c r="H16" t="s">
        <v>134</v>
      </c>
      <c r="I16">
        <v>18.13</v>
      </c>
    </row>
    <row r="17" spans="1:5">
      <c r="A17">
        <v>0.21</v>
      </c>
      <c r="C17" t="s">
        <v>5</v>
      </c>
      <c r="D17">
        <v>0.93</v>
      </c>
      <c r="E17">
        <f t="shared" si="0"/>
        <v>0.72000000000000008</v>
      </c>
    </row>
    <row r="18" spans="1:5">
      <c r="A18">
        <v>0.21</v>
      </c>
      <c r="C18" t="s">
        <v>5</v>
      </c>
      <c r="D18">
        <v>0.94199999999999995</v>
      </c>
      <c r="E18">
        <f t="shared" si="0"/>
        <v>0.73199999999999998</v>
      </c>
    </row>
    <row r="19" spans="1:5">
      <c r="A19">
        <v>0.21</v>
      </c>
      <c r="D19">
        <v>0.97</v>
      </c>
      <c r="E19">
        <f t="shared" si="0"/>
        <v>0.76</v>
      </c>
    </row>
    <row r="20" spans="1:5">
      <c r="A20">
        <v>0.21</v>
      </c>
      <c r="D20">
        <v>1.03</v>
      </c>
      <c r="E20">
        <f t="shared" si="0"/>
        <v>0.82000000000000006</v>
      </c>
    </row>
    <row r="21" spans="1:5">
      <c r="A21">
        <v>0.21</v>
      </c>
      <c r="D21">
        <v>1.06</v>
      </c>
      <c r="E21">
        <f t="shared" si="0"/>
        <v>0.85000000000000009</v>
      </c>
    </row>
    <row r="22" spans="1:5">
      <c r="A22">
        <v>0.22</v>
      </c>
      <c r="D22">
        <v>1.06</v>
      </c>
      <c r="E22">
        <f t="shared" si="0"/>
        <v>0.84000000000000008</v>
      </c>
    </row>
    <row r="23" spans="1:5">
      <c r="A23">
        <v>0.23</v>
      </c>
      <c r="D23">
        <v>1.145</v>
      </c>
      <c r="E23">
        <f t="shared" ref="E23:E30" si="2">+D23-A23</f>
        <v>0.91500000000000004</v>
      </c>
    </row>
    <row r="24" spans="1:5">
      <c r="A24">
        <v>0.34</v>
      </c>
      <c r="D24">
        <v>1.1599999999999999</v>
      </c>
      <c r="E24">
        <f t="shared" si="2"/>
        <v>0.81999999999999984</v>
      </c>
    </row>
    <row r="25" spans="1:5">
      <c r="A25">
        <v>0.34</v>
      </c>
      <c r="D25">
        <v>1.24</v>
      </c>
      <c r="E25">
        <f t="shared" si="2"/>
        <v>0.89999999999999991</v>
      </c>
    </row>
    <row r="26" spans="1:5">
      <c r="A26">
        <v>0.39</v>
      </c>
      <c r="D26">
        <v>1.27</v>
      </c>
      <c r="E26">
        <f t="shared" si="2"/>
        <v>0.88</v>
      </c>
    </row>
    <row r="27" spans="1:5">
      <c r="A27">
        <v>0.54</v>
      </c>
      <c r="D27">
        <v>1.55</v>
      </c>
      <c r="E27">
        <f t="shared" si="2"/>
        <v>1.01</v>
      </c>
    </row>
    <row r="28" spans="1:5">
      <c r="A28">
        <v>0.57999999999999996</v>
      </c>
      <c r="D28">
        <v>1.81</v>
      </c>
      <c r="E28">
        <f t="shared" si="2"/>
        <v>1.23</v>
      </c>
    </row>
    <row r="29" spans="1:5">
      <c r="A29">
        <v>0.6</v>
      </c>
      <c r="D29">
        <v>1.97</v>
      </c>
      <c r="E29">
        <f t="shared" si="2"/>
        <v>1.37</v>
      </c>
    </row>
    <row r="30" spans="1:5">
      <c r="A30">
        <v>0.8</v>
      </c>
      <c r="D30">
        <v>2.37</v>
      </c>
      <c r="E30">
        <f t="shared" si="2"/>
        <v>1.57</v>
      </c>
    </row>
    <row r="31" spans="1:5">
      <c r="D31">
        <v>1.19</v>
      </c>
    </row>
    <row r="32" spans="1:5">
      <c r="D32">
        <v>1.01</v>
      </c>
    </row>
    <row r="33" spans="1:4">
      <c r="A33">
        <f>+AVERAGE(A6:A30)</f>
        <v>0.27559999999999996</v>
      </c>
      <c r="D33">
        <v>0.71</v>
      </c>
    </row>
    <row r="34" spans="1:4">
      <c r="A34">
        <f>+STDEV(A5:A30)</f>
        <v>0.17497809386701343</v>
      </c>
      <c r="D34">
        <v>1.04</v>
      </c>
    </row>
    <row r="35" spans="1:4">
      <c r="A35" t="s">
        <v>5</v>
      </c>
      <c r="D35">
        <v>0.43</v>
      </c>
    </row>
    <row r="36" spans="1:4">
      <c r="D36">
        <v>0.93</v>
      </c>
    </row>
    <row r="37" spans="1:4">
      <c r="D37">
        <v>0.71</v>
      </c>
    </row>
    <row r="38" spans="1:4">
      <c r="D38">
        <v>0.56999999999999995</v>
      </c>
    </row>
    <row r="39" spans="1:4">
      <c r="D39">
        <v>0.69</v>
      </c>
    </row>
    <row r="40" spans="1:4">
      <c r="D40">
        <v>1.07</v>
      </c>
    </row>
    <row r="41" spans="1:4">
      <c r="D41">
        <v>1.1200000000000001</v>
      </c>
    </row>
    <row r="42" spans="1:4">
      <c r="D42">
        <v>1.22</v>
      </c>
    </row>
    <row r="43" spans="1:4">
      <c r="D43">
        <v>1.28</v>
      </c>
    </row>
    <row r="44" spans="1:4">
      <c r="D44">
        <v>0.67</v>
      </c>
    </row>
    <row r="45" spans="1:4">
      <c r="D45">
        <v>1.18</v>
      </c>
    </row>
    <row r="46" spans="1:4">
      <c r="D46">
        <v>0.9</v>
      </c>
    </row>
    <row r="47" spans="1:4">
      <c r="D47">
        <v>0.85</v>
      </c>
    </row>
    <row r="48" spans="1:4">
      <c r="D48">
        <v>0.66</v>
      </c>
    </row>
    <row r="49" spans="1:5">
      <c r="D49">
        <v>0.74</v>
      </c>
    </row>
    <row r="51" spans="1:5">
      <c r="D51">
        <f>+AVERAGE(D6:D49)</f>
        <v>0.97574999999999978</v>
      </c>
    </row>
    <row r="52" spans="1:5">
      <c r="D52">
        <f>+STDEV(D6:D49)</f>
        <v>0.38919637686833897</v>
      </c>
    </row>
    <row r="54" spans="1:5">
      <c r="A54" t="s">
        <v>182</v>
      </c>
      <c r="B54" t="s">
        <v>183</v>
      </c>
      <c r="C54" t="s">
        <v>184</v>
      </c>
      <c r="D54" t="s">
        <v>170</v>
      </c>
      <c r="E54" t="s">
        <v>171</v>
      </c>
    </row>
    <row r="55" spans="1:5">
      <c r="A55" t="s">
        <v>173</v>
      </c>
      <c r="C55" t="s">
        <v>31</v>
      </c>
      <c r="D55" s="1" t="s">
        <v>185</v>
      </c>
    </row>
    <row r="56" spans="1:5">
      <c r="A56">
        <v>0.09</v>
      </c>
      <c r="B56">
        <v>0.19</v>
      </c>
      <c r="C56">
        <v>1.39</v>
      </c>
      <c r="D56">
        <v>0.48</v>
      </c>
      <c r="E56">
        <f>+D56-A56</f>
        <v>0.39</v>
      </c>
    </row>
    <row r="57" spans="1:5">
      <c r="A57">
        <v>0.11</v>
      </c>
      <c r="B57">
        <v>0.27</v>
      </c>
      <c r="C57">
        <v>2.06</v>
      </c>
      <c r="D57">
        <v>0.5</v>
      </c>
      <c r="E57">
        <f t="shared" ref="E57:E72" si="3">+D57-A57</f>
        <v>0.39</v>
      </c>
    </row>
    <row r="58" spans="1:5">
      <c r="A58">
        <v>0.11</v>
      </c>
      <c r="B58">
        <v>0.23</v>
      </c>
      <c r="C58">
        <v>1.57</v>
      </c>
      <c r="D58">
        <v>0.59</v>
      </c>
      <c r="E58">
        <f t="shared" si="3"/>
        <v>0.48</v>
      </c>
    </row>
    <row r="59" spans="1:5">
      <c r="A59">
        <v>0.12</v>
      </c>
      <c r="B59">
        <v>0.3</v>
      </c>
      <c r="C59">
        <v>1.65</v>
      </c>
      <c r="D59">
        <v>0.64</v>
      </c>
      <c r="E59">
        <f t="shared" si="3"/>
        <v>0.52</v>
      </c>
    </row>
    <row r="60" spans="1:5">
      <c r="A60">
        <v>0.12</v>
      </c>
      <c r="B60">
        <v>0.24</v>
      </c>
      <c r="C60">
        <v>0.92</v>
      </c>
      <c r="D60">
        <v>0.64</v>
      </c>
      <c r="E60">
        <f t="shared" si="3"/>
        <v>0.52</v>
      </c>
    </row>
    <row r="61" spans="1:5">
      <c r="A61">
        <v>0.15</v>
      </c>
      <c r="B61">
        <v>0.3</v>
      </c>
      <c r="C61">
        <v>1.02</v>
      </c>
      <c r="D61">
        <v>0.64</v>
      </c>
      <c r="E61">
        <f t="shared" si="3"/>
        <v>0.49</v>
      </c>
    </row>
    <row r="62" spans="1:5">
      <c r="A62">
        <v>0.15</v>
      </c>
      <c r="B62">
        <v>0.16</v>
      </c>
      <c r="C62">
        <v>0.68</v>
      </c>
      <c r="D62">
        <v>0.64</v>
      </c>
      <c r="E62">
        <f t="shared" si="3"/>
        <v>0.49</v>
      </c>
    </row>
    <row r="63" spans="1:5">
      <c r="A63">
        <v>0.16</v>
      </c>
      <c r="B63">
        <v>0.17</v>
      </c>
      <c r="C63">
        <v>0.75</v>
      </c>
      <c r="D63">
        <v>0.72</v>
      </c>
      <c r="E63">
        <f t="shared" si="3"/>
        <v>0.55999999999999994</v>
      </c>
    </row>
    <row r="64" spans="1:5">
      <c r="A64">
        <v>0.16</v>
      </c>
      <c r="B64">
        <v>0.2</v>
      </c>
      <c r="C64">
        <v>0.97</v>
      </c>
      <c r="D64">
        <v>0.73</v>
      </c>
      <c r="E64">
        <f t="shared" si="3"/>
        <v>0.56999999999999995</v>
      </c>
    </row>
    <row r="65" spans="1:5">
      <c r="A65">
        <v>0.17</v>
      </c>
      <c r="B65">
        <v>0.12</v>
      </c>
      <c r="D65">
        <v>0.74</v>
      </c>
      <c r="E65">
        <f t="shared" si="3"/>
        <v>0.56999999999999995</v>
      </c>
    </row>
    <row r="66" spans="1:5">
      <c r="A66">
        <v>0.18</v>
      </c>
      <c r="B66">
        <v>0.16</v>
      </c>
      <c r="D66">
        <v>0.75</v>
      </c>
      <c r="E66">
        <f t="shared" si="3"/>
        <v>0.57000000000000006</v>
      </c>
    </row>
    <row r="67" spans="1:5">
      <c r="A67">
        <v>0.21</v>
      </c>
      <c r="B67">
        <v>0.16</v>
      </c>
      <c r="C67">
        <f>+AVERAGE(C56:C65)</f>
        <v>1.2233333333333334</v>
      </c>
      <c r="D67">
        <v>0.78</v>
      </c>
      <c r="E67">
        <f t="shared" si="3"/>
        <v>0.57000000000000006</v>
      </c>
    </row>
    <row r="68" spans="1:5">
      <c r="A68">
        <v>0.22</v>
      </c>
      <c r="B68">
        <v>0.24</v>
      </c>
      <c r="C68">
        <f>+STDEV(C56:C64)</f>
        <v>0.46727935969824286</v>
      </c>
      <c r="D68">
        <v>0.78</v>
      </c>
      <c r="E68">
        <f t="shared" si="3"/>
        <v>0.56000000000000005</v>
      </c>
    </row>
    <row r="69" spans="1:5">
      <c r="A69">
        <v>0.22</v>
      </c>
      <c r="B69">
        <v>0.19</v>
      </c>
      <c r="D69">
        <v>0.78</v>
      </c>
      <c r="E69">
        <f t="shared" si="3"/>
        <v>0.56000000000000005</v>
      </c>
    </row>
    <row r="70" spans="1:5">
      <c r="A70">
        <v>0.23</v>
      </c>
      <c r="B70">
        <v>0.26</v>
      </c>
      <c r="D70">
        <v>0.79</v>
      </c>
      <c r="E70">
        <f t="shared" si="3"/>
        <v>0.56000000000000005</v>
      </c>
    </row>
    <row r="71" spans="1:5">
      <c r="A71">
        <v>0.25</v>
      </c>
      <c r="B71">
        <v>0.21</v>
      </c>
      <c r="D71">
        <v>0.8</v>
      </c>
      <c r="E71">
        <f t="shared" si="3"/>
        <v>0.55000000000000004</v>
      </c>
    </row>
    <row r="72" spans="1:5">
      <c r="A72">
        <v>0.26</v>
      </c>
      <c r="B72">
        <v>0.18</v>
      </c>
      <c r="D72">
        <v>0.82</v>
      </c>
      <c r="E72">
        <f t="shared" si="3"/>
        <v>0.55999999999999994</v>
      </c>
    </row>
    <row r="73" spans="1:5">
      <c r="A73">
        <v>0.27</v>
      </c>
      <c r="B73">
        <v>0.2</v>
      </c>
      <c r="D73">
        <v>0.83</v>
      </c>
      <c r="E73">
        <f t="shared" ref="E73:E80" si="4">+D73-A73</f>
        <v>0.55999999999999994</v>
      </c>
    </row>
    <row r="74" spans="1:5">
      <c r="A74">
        <v>0.28999999999999998</v>
      </c>
      <c r="B74">
        <v>0.21</v>
      </c>
      <c r="D74">
        <v>0.84</v>
      </c>
      <c r="E74">
        <f t="shared" si="4"/>
        <v>0.55000000000000004</v>
      </c>
    </row>
    <row r="75" spans="1:5">
      <c r="A75">
        <v>0.3</v>
      </c>
      <c r="B75">
        <v>0.14000000000000001</v>
      </c>
      <c r="D75">
        <v>0.88</v>
      </c>
      <c r="E75">
        <f t="shared" si="4"/>
        <v>0.58000000000000007</v>
      </c>
    </row>
    <row r="76" spans="1:5">
      <c r="A76">
        <v>0.3</v>
      </c>
      <c r="B76">
        <v>0.37</v>
      </c>
      <c r="D76">
        <v>0.89</v>
      </c>
      <c r="E76">
        <f t="shared" si="4"/>
        <v>0.59000000000000008</v>
      </c>
    </row>
    <row r="77" spans="1:5">
      <c r="A77">
        <v>0.36</v>
      </c>
      <c r="B77">
        <v>0.3</v>
      </c>
      <c r="D77">
        <v>0.92</v>
      </c>
      <c r="E77">
        <f t="shared" si="4"/>
        <v>0.56000000000000005</v>
      </c>
    </row>
    <row r="78" spans="1:5">
      <c r="A78">
        <v>0.4</v>
      </c>
      <c r="B78">
        <v>0.41</v>
      </c>
      <c r="D78">
        <v>0.92</v>
      </c>
      <c r="E78">
        <f t="shared" si="4"/>
        <v>0.52</v>
      </c>
    </row>
    <row r="79" spans="1:5">
      <c r="A79">
        <v>0.41</v>
      </c>
      <c r="B79">
        <v>0.5</v>
      </c>
      <c r="D79">
        <v>0.93</v>
      </c>
      <c r="E79">
        <f t="shared" si="4"/>
        <v>0.52</v>
      </c>
    </row>
    <row r="80" spans="1:5">
      <c r="A80">
        <v>0.5</v>
      </c>
      <c r="B80">
        <v>0.34</v>
      </c>
      <c r="D80">
        <v>1.08</v>
      </c>
      <c r="E80">
        <f t="shared" si="4"/>
        <v>0.58000000000000007</v>
      </c>
    </row>
    <row r="81" spans="1:4">
      <c r="D81">
        <v>0.73</v>
      </c>
    </row>
    <row r="82" spans="1:4">
      <c r="A82">
        <f t="shared" ref="A82:B82" si="5">+AVERAGE(A56:A80)</f>
        <v>0.22960000000000005</v>
      </c>
      <c r="B82">
        <f t="shared" si="5"/>
        <v>0.24200000000000002</v>
      </c>
      <c r="D82">
        <v>0.61</v>
      </c>
    </row>
    <row r="83" spans="1:4">
      <c r="A83">
        <f t="shared" ref="A83:B83" si="6">+STDEV(A56:A80)</f>
        <v>0.10592764826364563</v>
      </c>
      <c r="B83">
        <f t="shared" si="6"/>
        <v>9.0737717258774567E-2</v>
      </c>
      <c r="D83">
        <v>0.56999999999999995</v>
      </c>
    </row>
    <row r="84" spans="1:4">
      <c r="B84" t="s">
        <v>5</v>
      </c>
      <c r="D84">
        <v>0.56000000000000005</v>
      </c>
    </row>
    <row r="85" spans="1:4">
      <c r="D85">
        <v>1.1200000000000001</v>
      </c>
    </row>
    <row r="86" spans="1:4">
      <c r="D86">
        <v>0.76</v>
      </c>
    </row>
    <row r="87" spans="1:4">
      <c r="D87">
        <v>0.69</v>
      </c>
    </row>
    <row r="88" spans="1:4">
      <c r="D88">
        <v>0.74</v>
      </c>
    </row>
    <row r="89" spans="1:4">
      <c r="D89">
        <v>0.57999999999999996</v>
      </c>
    </row>
    <row r="90" spans="1:4">
      <c r="D90">
        <v>0.78</v>
      </c>
    </row>
    <row r="91" spans="1:4">
      <c r="D91">
        <v>0.98</v>
      </c>
    </row>
    <row r="92" spans="1:4">
      <c r="D92">
        <v>0.79</v>
      </c>
    </row>
    <row r="93" spans="1:4">
      <c r="D93">
        <v>0.61</v>
      </c>
    </row>
    <row r="94" spans="1:4">
      <c r="D94">
        <v>0.54</v>
      </c>
    </row>
    <row r="95" spans="1:4">
      <c r="D95">
        <v>0.75</v>
      </c>
    </row>
    <row r="96" spans="1:4">
      <c r="D96">
        <v>0.73</v>
      </c>
    </row>
    <row r="97" spans="1:5">
      <c r="D97">
        <v>0.75</v>
      </c>
    </row>
    <row r="98" spans="1:5">
      <c r="D98">
        <v>0.86</v>
      </c>
    </row>
    <row r="99" spans="1:5">
      <c r="D99">
        <v>0.57999999999999996</v>
      </c>
    </row>
    <row r="101" spans="1:5">
      <c r="D101">
        <f>+AVERAGE(D56:D99)</f>
        <v>0.74636363636363645</v>
      </c>
    </row>
    <row r="102" spans="1:5">
      <c r="D102">
        <f>+STDEV(D56:D99)</f>
        <v>0.14391681882239335</v>
      </c>
    </row>
    <row r="105" spans="1:5">
      <c r="A105" t="s">
        <v>186</v>
      </c>
      <c r="B105" t="s">
        <v>187</v>
      </c>
      <c r="C105" t="s">
        <v>184</v>
      </c>
      <c r="D105" t="s">
        <v>188</v>
      </c>
    </row>
    <row r="106" spans="1:5">
      <c r="A106" t="s">
        <v>173</v>
      </c>
      <c r="C106" t="s">
        <v>31</v>
      </c>
      <c r="D106" s="1" t="s">
        <v>185</v>
      </c>
      <c r="E106" t="s">
        <v>171</v>
      </c>
    </row>
    <row r="107" spans="1:5">
      <c r="A107">
        <v>7.0000000000000007E-2</v>
      </c>
      <c r="B107">
        <v>0.24</v>
      </c>
      <c r="C107">
        <v>1.41</v>
      </c>
      <c r="D107">
        <v>0.36</v>
      </c>
      <c r="E107">
        <f>+D107-A107</f>
        <v>0.28999999999999998</v>
      </c>
    </row>
    <row r="108" spans="1:5">
      <c r="A108">
        <v>0.11</v>
      </c>
      <c r="B108">
        <v>0.16</v>
      </c>
      <c r="C108">
        <v>1.04</v>
      </c>
      <c r="D108">
        <v>0.57999999999999996</v>
      </c>
      <c r="E108">
        <f t="shared" ref="E108:E123" si="7">+D108-A108</f>
        <v>0.47</v>
      </c>
    </row>
    <row r="109" spans="1:5">
      <c r="A109">
        <v>0.11</v>
      </c>
      <c r="B109">
        <v>0.21</v>
      </c>
      <c r="C109">
        <v>1.93</v>
      </c>
      <c r="D109">
        <v>0.6</v>
      </c>
      <c r="E109">
        <f t="shared" si="7"/>
        <v>0.49</v>
      </c>
    </row>
    <row r="110" spans="1:5">
      <c r="A110">
        <v>0.13</v>
      </c>
      <c r="B110">
        <v>0.18</v>
      </c>
      <c r="C110">
        <v>1.71</v>
      </c>
      <c r="D110">
        <v>0.6</v>
      </c>
      <c r="E110">
        <f t="shared" si="7"/>
        <v>0.47</v>
      </c>
    </row>
    <row r="111" spans="1:5">
      <c r="A111">
        <v>0.14000000000000001</v>
      </c>
      <c r="B111">
        <v>0.25</v>
      </c>
      <c r="C111">
        <v>1.1100000000000001</v>
      </c>
      <c r="D111">
        <v>0.62</v>
      </c>
      <c r="E111">
        <f t="shared" si="7"/>
        <v>0.48</v>
      </c>
    </row>
    <row r="112" spans="1:5">
      <c r="A112">
        <v>0.14000000000000001</v>
      </c>
      <c r="B112">
        <v>0.27</v>
      </c>
      <c r="C112">
        <v>1.5</v>
      </c>
      <c r="D112">
        <v>0.64</v>
      </c>
      <c r="E112">
        <f t="shared" si="7"/>
        <v>0.5</v>
      </c>
    </row>
    <row r="113" spans="1:5">
      <c r="A113">
        <v>0.15</v>
      </c>
      <c r="B113">
        <v>0.24</v>
      </c>
      <c r="C113">
        <v>1.03</v>
      </c>
      <c r="D113">
        <v>0.66</v>
      </c>
      <c r="E113">
        <f t="shared" si="7"/>
        <v>0.51</v>
      </c>
    </row>
    <row r="114" spans="1:5">
      <c r="A114">
        <v>0.16</v>
      </c>
      <c r="B114">
        <v>0.35</v>
      </c>
      <c r="C114">
        <v>0.62</v>
      </c>
      <c r="D114">
        <v>0.66</v>
      </c>
      <c r="E114">
        <f t="shared" si="7"/>
        <v>0.5</v>
      </c>
    </row>
    <row r="115" spans="1:5">
      <c r="A115">
        <v>0.17</v>
      </c>
      <c r="B115">
        <v>0.17</v>
      </c>
      <c r="C115">
        <v>0.82</v>
      </c>
      <c r="D115">
        <v>0.72</v>
      </c>
      <c r="E115">
        <f t="shared" si="7"/>
        <v>0.54999999999999993</v>
      </c>
    </row>
    <row r="116" spans="1:5">
      <c r="A116">
        <v>0.17</v>
      </c>
      <c r="B116">
        <v>0.16</v>
      </c>
      <c r="D116">
        <v>0.76</v>
      </c>
      <c r="E116">
        <f t="shared" si="7"/>
        <v>0.59</v>
      </c>
    </row>
    <row r="117" spans="1:5">
      <c r="A117">
        <v>0.18</v>
      </c>
      <c r="B117">
        <v>0.2</v>
      </c>
      <c r="D117">
        <v>0.79</v>
      </c>
      <c r="E117">
        <f t="shared" si="7"/>
        <v>0.6100000000000001</v>
      </c>
    </row>
    <row r="118" spans="1:5">
      <c r="A118">
        <v>0.18</v>
      </c>
      <c r="B118">
        <v>0.21</v>
      </c>
      <c r="C118">
        <f>+AVERAGE(C107:C116)</f>
        <v>1.2411111111111108</v>
      </c>
      <c r="D118">
        <v>0.81</v>
      </c>
      <c r="E118">
        <f t="shared" si="7"/>
        <v>0.63000000000000012</v>
      </c>
    </row>
    <row r="119" spans="1:5">
      <c r="A119">
        <v>0.19</v>
      </c>
      <c r="B119">
        <v>0.28000000000000003</v>
      </c>
      <c r="C119">
        <f>+STDEV(C107:C115)</f>
        <v>0.42651038804595581</v>
      </c>
      <c r="D119">
        <v>0.82</v>
      </c>
      <c r="E119">
        <f t="shared" si="7"/>
        <v>0.62999999999999989</v>
      </c>
    </row>
    <row r="120" spans="1:5">
      <c r="A120">
        <v>0.19</v>
      </c>
      <c r="B120">
        <v>0.11</v>
      </c>
      <c r="D120">
        <v>0.85</v>
      </c>
      <c r="E120">
        <f t="shared" si="7"/>
        <v>0.65999999999999992</v>
      </c>
    </row>
    <row r="121" spans="1:5">
      <c r="A121">
        <v>0.19</v>
      </c>
      <c r="B121">
        <v>0.15</v>
      </c>
      <c r="D121">
        <v>0.85</v>
      </c>
      <c r="E121">
        <f t="shared" si="7"/>
        <v>0.65999999999999992</v>
      </c>
    </row>
    <row r="122" spans="1:5">
      <c r="A122">
        <v>0.19</v>
      </c>
      <c r="B122">
        <v>0.19</v>
      </c>
      <c r="D122">
        <v>0.86</v>
      </c>
      <c r="E122">
        <f t="shared" si="7"/>
        <v>0.66999999999999993</v>
      </c>
    </row>
    <row r="123" spans="1:5">
      <c r="A123">
        <v>0.2</v>
      </c>
      <c r="B123">
        <v>0.17</v>
      </c>
      <c r="D123">
        <v>0.89</v>
      </c>
      <c r="E123">
        <f t="shared" si="7"/>
        <v>0.69</v>
      </c>
    </row>
    <row r="124" spans="1:5">
      <c r="A124">
        <v>0.2</v>
      </c>
      <c r="B124">
        <v>0.22</v>
      </c>
      <c r="D124">
        <v>0.91</v>
      </c>
      <c r="E124">
        <f t="shared" ref="E124:E131" si="8">+D124-A124</f>
        <v>0.71</v>
      </c>
    </row>
    <row r="125" spans="1:5">
      <c r="A125">
        <v>0.21</v>
      </c>
      <c r="B125">
        <v>0.18</v>
      </c>
      <c r="D125">
        <v>0.94</v>
      </c>
      <c r="E125">
        <f t="shared" si="8"/>
        <v>0.73</v>
      </c>
    </row>
    <row r="126" spans="1:5">
      <c r="A126">
        <v>0.23</v>
      </c>
      <c r="B126">
        <v>0.1</v>
      </c>
      <c r="D126">
        <v>0.95</v>
      </c>
      <c r="E126">
        <f t="shared" si="8"/>
        <v>0.72</v>
      </c>
    </row>
    <row r="127" spans="1:5">
      <c r="A127">
        <v>0.25</v>
      </c>
      <c r="B127">
        <v>0.44</v>
      </c>
      <c r="D127">
        <v>0.98</v>
      </c>
      <c r="E127">
        <f t="shared" si="8"/>
        <v>0.73</v>
      </c>
    </row>
    <row r="128" spans="1:5">
      <c r="A128">
        <v>0.26</v>
      </c>
      <c r="B128">
        <v>0.44</v>
      </c>
      <c r="D128">
        <v>0.98</v>
      </c>
      <c r="E128">
        <f t="shared" si="8"/>
        <v>0.72</v>
      </c>
    </row>
    <row r="129" spans="1:5">
      <c r="A129">
        <v>0.27</v>
      </c>
      <c r="B129">
        <v>0.36</v>
      </c>
      <c r="D129">
        <v>1.08</v>
      </c>
      <c r="E129">
        <f t="shared" si="8"/>
        <v>0.81</v>
      </c>
    </row>
    <row r="130" spans="1:5">
      <c r="A130">
        <v>0.28000000000000003</v>
      </c>
      <c r="B130">
        <v>0.41</v>
      </c>
      <c r="D130">
        <v>1.1000000000000001</v>
      </c>
      <c r="E130">
        <f t="shared" si="8"/>
        <v>0.82000000000000006</v>
      </c>
    </row>
    <row r="131" spans="1:5">
      <c r="A131">
        <v>0.36</v>
      </c>
      <c r="B131">
        <v>0.38</v>
      </c>
      <c r="D131">
        <v>1.19</v>
      </c>
      <c r="E131">
        <f t="shared" si="8"/>
        <v>0.83</v>
      </c>
    </row>
    <row r="132" spans="1:5">
      <c r="D132">
        <v>1.02</v>
      </c>
    </row>
    <row r="133" spans="1:5">
      <c r="A133">
        <f t="shared" ref="A133:B133" si="9">+AVERAGE(A107:A131)</f>
        <v>0.18920000000000001</v>
      </c>
      <c r="B133">
        <f t="shared" si="9"/>
        <v>0.24280000000000004</v>
      </c>
      <c r="D133">
        <v>0.76</v>
      </c>
    </row>
    <row r="134" spans="1:5">
      <c r="A134">
        <f t="shared" ref="A134:B134" si="10">+STDEV(A107:A133)</f>
        <v>6.1117591575584926E-2</v>
      </c>
      <c r="B134">
        <f t="shared" si="10"/>
        <v>9.7591802934467703E-2</v>
      </c>
      <c r="D134">
        <v>0.79</v>
      </c>
    </row>
    <row r="135" spans="1:5">
      <c r="B135" t="s">
        <v>5</v>
      </c>
      <c r="D135">
        <v>0.82</v>
      </c>
    </row>
    <row r="136" spans="1:5">
      <c r="D136">
        <v>1.1599999999999999</v>
      </c>
    </row>
    <row r="137" spans="1:5">
      <c r="D137">
        <v>0.72</v>
      </c>
    </row>
    <row r="138" spans="1:5">
      <c r="D138">
        <v>0.74</v>
      </c>
    </row>
    <row r="139" spans="1:5">
      <c r="D139">
        <v>0.73</v>
      </c>
    </row>
    <row r="140" spans="1:5">
      <c r="D140">
        <v>0.75</v>
      </c>
    </row>
    <row r="141" spans="1:5">
      <c r="D141">
        <v>0.78</v>
      </c>
    </row>
    <row r="142" spans="1:5">
      <c r="D142">
        <v>0.78</v>
      </c>
    </row>
    <row r="143" spans="1:5">
      <c r="D143">
        <v>0.62</v>
      </c>
    </row>
    <row r="144" spans="1:5">
      <c r="D144">
        <v>0.83</v>
      </c>
    </row>
    <row r="145" spans="1:5">
      <c r="D145">
        <v>0.81</v>
      </c>
    </row>
    <row r="146" spans="1:5">
      <c r="D146">
        <v>0.76</v>
      </c>
    </row>
    <row r="147" spans="1:5">
      <c r="D147">
        <v>0.65</v>
      </c>
    </row>
    <row r="148" spans="1:5">
      <c r="D148">
        <v>0.47</v>
      </c>
    </row>
    <row r="150" spans="1:5">
      <c r="D150">
        <f>+AVERAGE(D107:D148)</f>
        <v>0.79499999999999982</v>
      </c>
    </row>
    <row r="151" spans="1:5">
      <c r="D151">
        <f>+STDEV(D107:D148)</f>
        <v>0.17444336560866461</v>
      </c>
    </row>
    <row r="154" spans="1:5">
      <c r="A154" t="s">
        <v>189</v>
      </c>
      <c r="B154" t="s">
        <v>190</v>
      </c>
      <c r="C154" t="s">
        <v>184</v>
      </c>
      <c r="D154" t="s">
        <v>191</v>
      </c>
      <c r="E154" t="s">
        <v>192</v>
      </c>
    </row>
    <row r="155" spans="1:5">
      <c r="A155" t="s">
        <v>173</v>
      </c>
      <c r="C155" t="s">
        <v>31</v>
      </c>
      <c r="D155" s="1" t="s">
        <v>185</v>
      </c>
    </row>
    <row r="156" spans="1:5">
      <c r="A156">
        <v>0.14000000000000001</v>
      </c>
      <c r="C156">
        <v>1.22</v>
      </c>
      <c r="D156">
        <v>0.61</v>
      </c>
      <c r="E156">
        <f>+D156-A156</f>
        <v>0.47</v>
      </c>
    </row>
    <row r="157" spans="1:5">
      <c r="A157">
        <v>0.14000000000000001</v>
      </c>
      <c r="C157">
        <v>1.1599999999999999</v>
      </c>
      <c r="D157">
        <v>0.69</v>
      </c>
      <c r="E157">
        <f t="shared" ref="E157:E172" si="11">+D157-A157</f>
        <v>0.54999999999999993</v>
      </c>
    </row>
    <row r="158" spans="1:5">
      <c r="A158">
        <v>0.15</v>
      </c>
      <c r="C158">
        <v>1.46</v>
      </c>
      <c r="D158">
        <v>0.71779999999999999</v>
      </c>
      <c r="E158">
        <f t="shared" si="11"/>
        <v>0.56779999999999997</v>
      </c>
    </row>
    <row r="159" spans="1:5">
      <c r="A159">
        <v>0.16</v>
      </c>
      <c r="C159">
        <v>1.87</v>
      </c>
      <c r="D159">
        <v>0.72</v>
      </c>
      <c r="E159">
        <f t="shared" si="11"/>
        <v>0.55999999999999994</v>
      </c>
    </row>
    <row r="160" spans="1:5">
      <c r="A160">
        <v>0.17</v>
      </c>
      <c r="C160">
        <v>1.8</v>
      </c>
      <c r="D160">
        <v>0.76</v>
      </c>
      <c r="E160">
        <f t="shared" si="11"/>
        <v>0.59</v>
      </c>
    </row>
    <row r="161" spans="1:5">
      <c r="A161">
        <v>0.17</v>
      </c>
      <c r="C161">
        <v>1.22</v>
      </c>
      <c r="D161">
        <v>0.78049999999999997</v>
      </c>
      <c r="E161">
        <f t="shared" si="11"/>
        <v>0.61049999999999993</v>
      </c>
    </row>
    <row r="162" spans="1:5">
      <c r="A162">
        <v>0.17</v>
      </c>
      <c r="C162">
        <v>1.1000000000000001</v>
      </c>
      <c r="D162">
        <v>0.78790000000000004</v>
      </c>
      <c r="E162">
        <f t="shared" si="11"/>
        <v>0.6179</v>
      </c>
    </row>
    <row r="163" spans="1:5">
      <c r="A163">
        <v>0.18</v>
      </c>
      <c r="C163">
        <v>0.79</v>
      </c>
      <c r="D163">
        <v>0.79</v>
      </c>
      <c r="E163">
        <f t="shared" si="11"/>
        <v>0.6100000000000001</v>
      </c>
    </row>
    <row r="164" spans="1:5">
      <c r="A164">
        <v>0.18</v>
      </c>
      <c r="C164">
        <v>0.64</v>
      </c>
      <c r="D164">
        <v>0.79830000000000001</v>
      </c>
      <c r="E164">
        <f t="shared" si="11"/>
        <v>0.61830000000000007</v>
      </c>
    </row>
    <row r="165" spans="1:5">
      <c r="A165">
        <v>0.18</v>
      </c>
      <c r="D165">
        <v>0.8</v>
      </c>
      <c r="E165">
        <f t="shared" si="11"/>
        <v>0.62000000000000011</v>
      </c>
    </row>
    <row r="166" spans="1:5">
      <c r="A166">
        <v>0.19</v>
      </c>
      <c r="D166">
        <v>0.81</v>
      </c>
      <c r="E166">
        <f t="shared" si="11"/>
        <v>0.62000000000000011</v>
      </c>
    </row>
    <row r="167" spans="1:5">
      <c r="A167">
        <v>0.19</v>
      </c>
      <c r="C167">
        <f>+AVERAGE(C156:C165)</f>
        <v>1.2511111111111113</v>
      </c>
      <c r="D167">
        <v>0.81</v>
      </c>
      <c r="E167">
        <f t="shared" si="11"/>
        <v>0.62000000000000011</v>
      </c>
    </row>
    <row r="168" spans="1:5">
      <c r="A168">
        <v>0.2</v>
      </c>
      <c r="C168">
        <f>+STDEV(C156:C164)</f>
        <v>0.4103487676490703</v>
      </c>
      <c r="D168">
        <v>0.81689999999999996</v>
      </c>
      <c r="E168">
        <f t="shared" si="11"/>
        <v>0.6169</v>
      </c>
    </row>
    <row r="169" spans="1:5">
      <c r="A169">
        <v>0.2</v>
      </c>
      <c r="D169">
        <v>0.81699999999999995</v>
      </c>
      <c r="E169">
        <f t="shared" si="11"/>
        <v>0.61699999999999999</v>
      </c>
    </row>
    <row r="170" spans="1:5">
      <c r="A170">
        <v>0.21</v>
      </c>
      <c r="D170">
        <v>0.83</v>
      </c>
      <c r="E170">
        <f t="shared" si="11"/>
        <v>0.62</v>
      </c>
    </row>
    <row r="171" spans="1:5">
      <c r="A171">
        <v>0.21</v>
      </c>
      <c r="D171">
        <v>0.85709999999999997</v>
      </c>
      <c r="E171">
        <f t="shared" si="11"/>
        <v>0.64710000000000001</v>
      </c>
    </row>
    <row r="172" spans="1:5">
      <c r="A172">
        <v>0.21</v>
      </c>
      <c r="D172">
        <v>0.89</v>
      </c>
      <c r="E172">
        <f t="shared" si="11"/>
        <v>0.68</v>
      </c>
    </row>
    <row r="173" spans="1:5">
      <c r="A173">
        <v>0.22</v>
      </c>
      <c r="D173">
        <v>0.89</v>
      </c>
      <c r="E173">
        <f t="shared" ref="E173:E180" si="12">+D173-A173</f>
        <v>0.67</v>
      </c>
    </row>
    <row r="174" spans="1:5">
      <c r="A174">
        <v>0.23</v>
      </c>
      <c r="D174">
        <v>0.91</v>
      </c>
      <c r="E174">
        <f t="shared" si="12"/>
        <v>0.68</v>
      </c>
    </row>
    <row r="175" spans="1:5">
      <c r="A175">
        <v>0.24</v>
      </c>
      <c r="D175">
        <v>0.96840000000000004</v>
      </c>
      <c r="E175">
        <f t="shared" si="12"/>
        <v>0.72840000000000005</v>
      </c>
    </row>
    <row r="176" spans="1:5">
      <c r="A176">
        <v>0.28999999999999998</v>
      </c>
      <c r="D176">
        <v>1</v>
      </c>
      <c r="E176">
        <f t="shared" si="12"/>
        <v>0.71</v>
      </c>
    </row>
    <row r="177" spans="1:5">
      <c r="A177">
        <v>0.36</v>
      </c>
      <c r="D177">
        <v>1.04</v>
      </c>
      <c r="E177">
        <f t="shared" si="12"/>
        <v>0.68</v>
      </c>
    </row>
    <row r="178" spans="1:5">
      <c r="A178">
        <v>0.38</v>
      </c>
      <c r="D178">
        <v>1.0780000000000001</v>
      </c>
      <c r="E178">
        <f t="shared" si="12"/>
        <v>0.69800000000000006</v>
      </c>
    </row>
    <row r="179" spans="1:5">
      <c r="A179">
        <v>0.39</v>
      </c>
      <c r="D179">
        <v>1.1100000000000001</v>
      </c>
      <c r="E179">
        <f t="shared" si="12"/>
        <v>0.72000000000000008</v>
      </c>
    </row>
    <row r="180" spans="1:5">
      <c r="A180">
        <v>0.5</v>
      </c>
      <c r="D180">
        <v>1.24</v>
      </c>
      <c r="E180">
        <f t="shared" si="12"/>
        <v>0.74</v>
      </c>
    </row>
    <row r="181" spans="1:5">
      <c r="D181">
        <v>1</v>
      </c>
    </row>
    <row r="182" spans="1:5">
      <c r="A182">
        <f>+AVERAGE(A156:A180)</f>
        <v>0.22640000000000002</v>
      </c>
      <c r="D182">
        <v>0.88</v>
      </c>
    </row>
    <row r="183" spans="1:5">
      <c r="A183">
        <f>+STDEV(A156:A180)</f>
        <v>8.9762649990590929E-2</v>
      </c>
      <c r="D183">
        <v>0.66</v>
      </c>
    </row>
    <row r="184" spans="1:5">
      <c r="D184">
        <v>0.63</v>
      </c>
    </row>
    <row r="185" spans="1:5">
      <c r="D185">
        <v>0.81</v>
      </c>
    </row>
    <row r="186" spans="1:5">
      <c r="D186">
        <v>0.9</v>
      </c>
    </row>
    <row r="187" spans="1:5">
      <c r="D187">
        <v>0.56999999999999995</v>
      </c>
    </row>
    <row r="188" spans="1:5">
      <c r="D188">
        <v>0.88</v>
      </c>
    </row>
    <row r="189" spans="1:5">
      <c r="D189">
        <v>0.69</v>
      </c>
    </row>
    <row r="190" spans="1:5">
      <c r="D190">
        <v>0.82</v>
      </c>
    </row>
    <row r="191" spans="1:5">
      <c r="D191">
        <v>0.76</v>
      </c>
    </row>
    <row r="192" spans="1:5">
      <c r="D192">
        <v>0.83</v>
      </c>
    </row>
    <row r="193" spans="4:4">
      <c r="D193">
        <v>0.64</v>
      </c>
    </row>
    <row r="194" spans="4:4">
      <c r="D194">
        <v>0.7</v>
      </c>
    </row>
    <row r="195" spans="4:4">
      <c r="D195">
        <v>0.93</v>
      </c>
    </row>
    <row r="196" spans="4:4">
      <c r="D196">
        <v>0.69</v>
      </c>
    </row>
    <row r="197" spans="4:4">
      <c r="D197">
        <v>0.61</v>
      </c>
    </row>
    <row r="198" spans="4:4">
      <c r="D198">
        <v>0.92</v>
      </c>
    </row>
    <row r="200" spans="4:4">
      <c r="D200">
        <f>+AVERAGE(D156:D198)</f>
        <v>0.82423023255813943</v>
      </c>
    </row>
    <row r="201" spans="4:4">
      <c r="D201">
        <f>+STDEV(D156:D198)</f>
        <v>0.1430050357669494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VO2 F</vt:lpstr>
      <vt:lpstr>VO2 C</vt:lpstr>
      <vt:lpstr>VO2 A</vt:lpstr>
      <vt:lpstr>VO2 D</vt:lpstr>
      <vt:lpstr>Regresiones</vt:lpstr>
      <vt:lpstr>Resumen Regresiones</vt:lpstr>
      <vt:lpstr>Crecimiento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Martina Escamilla</cp:lastModifiedBy>
  <cp:lastPrinted>1999-09-20T16:53:36Z</cp:lastPrinted>
  <dcterms:created xsi:type="dcterms:W3CDTF">1999-08-12T15:42:52Z</dcterms:created>
  <dcterms:modified xsi:type="dcterms:W3CDTF">2011-06-20T15:32:07Z</dcterms:modified>
</cp:coreProperties>
</file>